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bookViews>
  <sheets>
    <sheet name="Лист1" sheetId="1" r:id="rId1"/>
  </sheets>
  <definedNames>
    <definedName name="_xlnm._FilterDatabase" localSheetId="0" hidden="1">Лист1!$A$10:$R$209</definedName>
    <definedName name="_xlnm.Print_Titles" localSheetId="0">Лист1!$6:$9</definedName>
    <definedName name="_xlnm.Print_Area" localSheetId="0">Лист1!$A$1:$S$209</definedName>
  </definedNames>
  <calcPr calcId="162913"/>
</workbook>
</file>

<file path=xl/calcChain.xml><?xml version="1.0" encoding="utf-8"?>
<calcChain xmlns="http://schemas.openxmlformats.org/spreadsheetml/2006/main">
  <c r="J150" i="1" l="1"/>
  <c r="J148" i="1" l="1"/>
  <c r="I182" i="1" l="1"/>
  <c r="I192" i="1"/>
  <c r="N180" i="1"/>
  <c r="M180" i="1"/>
  <c r="L180" i="1"/>
  <c r="K180" i="1"/>
  <c r="I180" i="1"/>
  <c r="G180" i="1"/>
  <c r="E190" i="1"/>
  <c r="D190" i="1"/>
  <c r="J98" i="1"/>
  <c r="J82" i="1"/>
  <c r="F190" i="1" l="1"/>
  <c r="H192" i="1" l="1"/>
  <c r="H180" i="1" s="1"/>
  <c r="E196" i="1"/>
  <c r="D196" i="1"/>
  <c r="J192" i="1"/>
  <c r="J180" i="1" s="1"/>
  <c r="J168" i="1"/>
  <c r="I168" i="1"/>
  <c r="J158" i="1"/>
  <c r="H154" i="1"/>
  <c r="J70" i="1"/>
  <c r="I76" i="1"/>
  <c r="I70" i="1"/>
  <c r="J60" i="1"/>
  <c r="J58" i="1"/>
  <c r="I58" i="1"/>
  <c r="J56" i="1"/>
  <c r="J54" i="1"/>
  <c r="H52" i="1"/>
  <c r="J40" i="1"/>
  <c r="F196" i="1" l="1"/>
  <c r="J38" i="1" l="1"/>
  <c r="J34" i="1"/>
  <c r="J20" i="1"/>
  <c r="I20" i="1"/>
  <c r="I18" i="1"/>
  <c r="J18" i="1"/>
  <c r="L94" i="1" l="1"/>
  <c r="E94" i="1" s="1"/>
  <c r="K94" i="1"/>
  <c r="D94" i="1" s="1"/>
  <c r="D92" i="1" s="1"/>
  <c r="N92" i="1"/>
  <c r="M92" i="1"/>
  <c r="J92" i="1"/>
  <c r="I92" i="1"/>
  <c r="H92" i="1"/>
  <c r="G92" i="1"/>
  <c r="L92" i="1" l="1"/>
  <c r="K92" i="1"/>
  <c r="F94" i="1"/>
  <c r="E92" i="1"/>
  <c r="F92" i="1" s="1"/>
  <c r="E50" i="1" l="1"/>
  <c r="D50" i="1"/>
  <c r="F50" i="1" l="1"/>
  <c r="H198" i="1"/>
  <c r="I198" i="1"/>
  <c r="J198" i="1"/>
  <c r="K198" i="1"/>
  <c r="L198" i="1"/>
  <c r="M198" i="1"/>
  <c r="N198" i="1"/>
  <c r="E188" i="1"/>
  <c r="D188" i="1"/>
  <c r="E194" i="1"/>
  <c r="D194" i="1"/>
  <c r="E192" i="1"/>
  <c r="D192" i="1"/>
  <c r="H162" i="1"/>
  <c r="I162" i="1"/>
  <c r="J162" i="1"/>
  <c r="K162" i="1"/>
  <c r="L162" i="1"/>
  <c r="M162" i="1"/>
  <c r="N162" i="1"/>
  <c r="G162" i="1"/>
  <c r="E176" i="1"/>
  <c r="D176" i="1"/>
  <c r="H156" i="1"/>
  <c r="I156" i="1"/>
  <c r="J156" i="1"/>
  <c r="K156" i="1"/>
  <c r="L156" i="1"/>
  <c r="M156" i="1"/>
  <c r="N156" i="1"/>
  <c r="G156" i="1"/>
  <c r="E160" i="1"/>
  <c r="D160" i="1"/>
  <c r="H130" i="1"/>
  <c r="I130" i="1"/>
  <c r="J130" i="1"/>
  <c r="K130" i="1"/>
  <c r="L130" i="1"/>
  <c r="M130" i="1"/>
  <c r="N130" i="1"/>
  <c r="G130" i="1"/>
  <c r="E154" i="1"/>
  <c r="D154" i="1"/>
  <c r="I114" i="1"/>
  <c r="J114" i="1"/>
  <c r="L114" i="1"/>
  <c r="M114" i="1"/>
  <c r="N114" i="1"/>
  <c r="H114" i="1"/>
  <c r="G114" i="1"/>
  <c r="I96" i="1"/>
  <c r="J96" i="1"/>
  <c r="K96" i="1"/>
  <c r="L96" i="1"/>
  <c r="M96" i="1"/>
  <c r="N96" i="1"/>
  <c r="H96" i="1"/>
  <c r="G96" i="1"/>
  <c r="E112" i="1"/>
  <c r="D112" i="1"/>
  <c r="E110" i="1"/>
  <c r="D110" i="1"/>
  <c r="E108" i="1"/>
  <c r="D108" i="1"/>
  <c r="F194" i="1" l="1"/>
  <c r="F176" i="1"/>
  <c r="F188" i="1"/>
  <c r="F192" i="1"/>
  <c r="F160" i="1"/>
  <c r="F154" i="1"/>
  <c r="F110" i="1"/>
  <c r="D96" i="1"/>
  <c r="F112" i="1"/>
  <c r="F108" i="1"/>
  <c r="N78" i="1" l="1"/>
  <c r="M78" i="1"/>
  <c r="L78" i="1"/>
  <c r="K78" i="1"/>
  <c r="J78" i="1"/>
  <c r="I78" i="1"/>
  <c r="H78" i="1"/>
  <c r="G78" i="1"/>
  <c r="E88" i="1" l="1"/>
  <c r="D88" i="1"/>
  <c r="I68" i="1"/>
  <c r="J68" i="1"/>
  <c r="K68" i="1"/>
  <c r="L68" i="1"/>
  <c r="M68" i="1"/>
  <c r="N68" i="1"/>
  <c r="H68" i="1"/>
  <c r="G68" i="1"/>
  <c r="E58" i="1"/>
  <c r="D58" i="1"/>
  <c r="I54" i="1"/>
  <c r="F88" i="1" l="1"/>
  <c r="F58" i="1"/>
  <c r="J24" i="1"/>
  <c r="I34" i="1"/>
  <c r="I24" i="1" s="1"/>
  <c r="N24" i="1"/>
  <c r="M24" i="1"/>
  <c r="H24" i="1"/>
  <c r="G24" i="1"/>
  <c r="E66" i="1"/>
  <c r="D66" i="1"/>
  <c r="E64" i="1"/>
  <c r="D64" i="1"/>
  <c r="E62" i="1"/>
  <c r="D62" i="1"/>
  <c r="E60" i="1"/>
  <c r="D60" i="1"/>
  <c r="E56" i="1"/>
  <c r="D56" i="1"/>
  <c r="L54" i="1"/>
  <c r="L24" i="1" s="1"/>
  <c r="K54" i="1"/>
  <c r="K24" i="1" s="1"/>
  <c r="F64" i="1" l="1"/>
  <c r="F62" i="1"/>
  <c r="F66" i="1"/>
  <c r="F60" i="1"/>
  <c r="F56" i="1"/>
  <c r="E152" i="1" l="1"/>
  <c r="D152" i="1"/>
  <c r="E150" i="1"/>
  <c r="D150" i="1"/>
  <c r="E148" i="1"/>
  <c r="D148" i="1"/>
  <c r="E90" i="1"/>
  <c r="D90" i="1"/>
  <c r="F148" i="1" l="1"/>
  <c r="F152" i="1"/>
  <c r="F150" i="1"/>
  <c r="F90" i="1"/>
  <c r="E184" i="1" l="1"/>
  <c r="D184" i="1"/>
  <c r="F184" i="1" l="1"/>
  <c r="E174" i="1" l="1"/>
  <c r="D174" i="1"/>
  <c r="E158" i="1"/>
  <c r="D158" i="1"/>
  <c r="E140" i="1"/>
  <c r="D140" i="1"/>
  <c r="E138" i="1"/>
  <c r="D138" i="1"/>
  <c r="E162" i="1" l="1"/>
  <c r="D162" i="1"/>
  <c r="D156" i="1"/>
  <c r="E156" i="1"/>
  <c r="F174" i="1"/>
  <c r="F158" i="1"/>
  <c r="D130" i="1"/>
  <c r="F140" i="1"/>
  <c r="F138" i="1"/>
  <c r="K116" i="1"/>
  <c r="K114" i="1" s="1"/>
  <c r="E106" i="1"/>
  <c r="D106" i="1"/>
  <c r="E104" i="1"/>
  <c r="D104" i="1"/>
  <c r="E102" i="1"/>
  <c r="D102" i="1"/>
  <c r="F106" i="1" l="1"/>
  <c r="F104" i="1"/>
  <c r="F102" i="1"/>
  <c r="J12" i="1" l="1"/>
  <c r="E42" i="1" l="1"/>
  <c r="D42" i="1"/>
  <c r="F42" i="1" l="1"/>
  <c r="E136" i="1" l="1"/>
  <c r="D136" i="1"/>
  <c r="F136" i="1" l="1"/>
  <c r="E130" i="1" l="1"/>
  <c r="I202" i="1" l="1"/>
  <c r="E74" i="1" l="1"/>
  <c r="D74" i="1"/>
  <c r="E54" i="1"/>
  <c r="D54" i="1"/>
  <c r="E52" i="1"/>
  <c r="D52" i="1"/>
  <c r="F54" i="1" l="1"/>
  <c r="F52" i="1"/>
  <c r="F74" i="1"/>
  <c r="E206" i="1" l="1"/>
  <c r="D206" i="1"/>
  <c r="E204" i="1"/>
  <c r="D204" i="1"/>
  <c r="N202" i="1"/>
  <c r="M202" i="1"/>
  <c r="L202" i="1"/>
  <c r="K202" i="1"/>
  <c r="J202" i="1"/>
  <c r="H202" i="1"/>
  <c r="G202" i="1"/>
  <c r="E200" i="1"/>
  <c r="E198" i="1" s="1"/>
  <c r="D200" i="1"/>
  <c r="D198" i="1" s="1"/>
  <c r="G198" i="1"/>
  <c r="E186" i="1"/>
  <c r="D186" i="1"/>
  <c r="E182" i="1"/>
  <c r="D182" i="1"/>
  <c r="E172" i="1"/>
  <c r="D172" i="1"/>
  <c r="E170" i="1"/>
  <c r="D170" i="1"/>
  <c r="E168" i="1"/>
  <c r="D168" i="1"/>
  <c r="E166" i="1"/>
  <c r="D166" i="1"/>
  <c r="E164" i="1"/>
  <c r="D164" i="1"/>
  <c r="E146" i="1"/>
  <c r="D146" i="1"/>
  <c r="E144" i="1"/>
  <c r="D144" i="1"/>
  <c r="N142" i="1"/>
  <c r="N178" i="1" s="1"/>
  <c r="M142" i="1"/>
  <c r="M178" i="1" s="1"/>
  <c r="L142" i="1"/>
  <c r="L178" i="1" s="1"/>
  <c r="K142" i="1"/>
  <c r="K178" i="1" s="1"/>
  <c r="J142" i="1"/>
  <c r="J178" i="1" s="1"/>
  <c r="I142" i="1"/>
  <c r="I178" i="1" s="1"/>
  <c r="H142" i="1"/>
  <c r="H178" i="1" s="1"/>
  <c r="G142" i="1"/>
  <c r="G178" i="1" s="1"/>
  <c r="E134" i="1"/>
  <c r="D134" i="1"/>
  <c r="E132" i="1"/>
  <c r="D132" i="1"/>
  <c r="E126" i="1"/>
  <c r="E124" i="1" s="1"/>
  <c r="D126" i="1"/>
  <c r="D124" i="1" s="1"/>
  <c r="N124" i="1"/>
  <c r="M124" i="1"/>
  <c r="L124" i="1"/>
  <c r="K124" i="1"/>
  <c r="J124" i="1"/>
  <c r="I124" i="1"/>
  <c r="H124" i="1"/>
  <c r="G124" i="1"/>
  <c r="E122" i="1"/>
  <c r="E120" i="1" s="1"/>
  <c r="D122" i="1"/>
  <c r="D120" i="1" s="1"/>
  <c r="N120" i="1"/>
  <c r="M120" i="1"/>
  <c r="L120" i="1"/>
  <c r="K120" i="1"/>
  <c r="J120" i="1"/>
  <c r="I120" i="1"/>
  <c r="H120" i="1"/>
  <c r="G120" i="1"/>
  <c r="E118" i="1"/>
  <c r="D118" i="1"/>
  <c r="E116" i="1"/>
  <c r="D116" i="1"/>
  <c r="E100" i="1"/>
  <c r="D100" i="1"/>
  <c r="D98" i="1"/>
  <c r="E86" i="1"/>
  <c r="D86" i="1"/>
  <c r="E84" i="1"/>
  <c r="D84" i="1"/>
  <c r="E82" i="1"/>
  <c r="D82" i="1"/>
  <c r="E80" i="1"/>
  <c r="D80" i="1"/>
  <c r="E76" i="1"/>
  <c r="D76" i="1"/>
  <c r="E72" i="1"/>
  <c r="D72" i="1"/>
  <c r="E70" i="1"/>
  <c r="D70" i="1"/>
  <c r="E48" i="1"/>
  <c r="D48" i="1"/>
  <c r="E46" i="1"/>
  <c r="D46" i="1"/>
  <c r="E44" i="1"/>
  <c r="D44" i="1"/>
  <c r="E40" i="1"/>
  <c r="D40" i="1"/>
  <c r="E38" i="1"/>
  <c r="D38" i="1"/>
  <c r="E36" i="1"/>
  <c r="D36" i="1"/>
  <c r="E34" i="1"/>
  <c r="D34" i="1"/>
  <c r="E32" i="1"/>
  <c r="D32" i="1"/>
  <c r="D30" i="1"/>
  <c r="E30" i="1"/>
  <c r="E28" i="1"/>
  <c r="D28" i="1"/>
  <c r="E26" i="1"/>
  <c r="D26" i="1"/>
  <c r="E22" i="1"/>
  <c r="D22" i="1"/>
  <c r="E20" i="1"/>
  <c r="D20" i="1"/>
  <c r="E18" i="1"/>
  <c r="D18" i="1"/>
  <c r="E16" i="1"/>
  <c r="D16" i="1"/>
  <c r="E14" i="1"/>
  <c r="D14" i="1"/>
  <c r="N12" i="1"/>
  <c r="M12" i="1"/>
  <c r="L12" i="1"/>
  <c r="K12" i="1"/>
  <c r="I12" i="1"/>
  <c r="H12" i="1"/>
  <c r="H128" i="1" s="1"/>
  <c r="G12" i="1"/>
  <c r="D180" i="1" l="1"/>
  <c r="I128" i="1"/>
  <c r="E180" i="1"/>
  <c r="G128" i="1"/>
  <c r="K128" i="1"/>
  <c r="M128" i="1"/>
  <c r="D114" i="1"/>
  <c r="N128" i="1"/>
  <c r="E114" i="1"/>
  <c r="J128" i="1"/>
  <c r="L128" i="1"/>
  <c r="D68" i="1"/>
  <c r="D78" i="1"/>
  <c r="E68" i="1"/>
  <c r="E78" i="1"/>
  <c r="D24" i="1"/>
  <c r="E24" i="1"/>
  <c r="E178" i="1"/>
  <c r="J208" i="1"/>
  <c r="D178" i="1"/>
  <c r="E98" i="1"/>
  <c r="F98" i="1" s="1"/>
  <c r="E96" i="1"/>
  <c r="I208" i="1"/>
  <c r="D202" i="1"/>
  <c r="F206" i="1"/>
  <c r="F204" i="1"/>
  <c r="E12" i="1"/>
  <c r="D12" i="1"/>
  <c r="F144" i="1"/>
  <c r="F70" i="1"/>
  <c r="F34" i="1"/>
  <c r="F38" i="1"/>
  <c r="F44" i="1"/>
  <c r="F46" i="1"/>
  <c r="F84" i="1"/>
  <c r="F118" i="1"/>
  <c r="F134" i="1"/>
  <c r="F164" i="1"/>
  <c r="F168" i="1"/>
  <c r="F172" i="1"/>
  <c r="D142" i="1"/>
  <c r="F80" i="1"/>
  <c r="F16" i="1"/>
  <c r="F20" i="1"/>
  <c r="F28" i="1"/>
  <c r="F32" i="1"/>
  <c r="F36" i="1"/>
  <c r="F40" i="1"/>
  <c r="F48" i="1"/>
  <c r="F72" i="1"/>
  <c r="F76" i="1"/>
  <c r="F82" i="1"/>
  <c r="F86" i="1"/>
  <c r="N208" i="1"/>
  <c r="E202" i="1"/>
  <c r="F14" i="1"/>
  <c r="F18" i="1"/>
  <c r="F22" i="1"/>
  <c r="F26" i="1"/>
  <c r="F30" i="1"/>
  <c r="F100" i="1"/>
  <c r="F116" i="1"/>
  <c r="F122" i="1"/>
  <c r="F120" i="1" s="1"/>
  <c r="F126" i="1"/>
  <c r="F124" i="1" s="1"/>
  <c r="F132" i="1"/>
  <c r="E142" i="1"/>
  <c r="F146" i="1"/>
  <c r="F166" i="1"/>
  <c r="F170" i="1"/>
  <c r="F182" i="1"/>
  <c r="F186" i="1"/>
  <c r="G208" i="1"/>
  <c r="K208" i="1"/>
  <c r="F200" i="1"/>
  <c r="H208" i="1"/>
  <c r="L208" i="1"/>
  <c r="M208" i="1"/>
  <c r="F198" i="1"/>
  <c r="F180" i="1" l="1"/>
  <c r="M209" i="1"/>
  <c r="D128" i="1"/>
  <c r="E128" i="1"/>
  <c r="F78" i="1"/>
  <c r="L209" i="1"/>
  <c r="J209" i="1"/>
  <c r="I209" i="1"/>
  <c r="D208" i="1"/>
  <c r="F114" i="1"/>
  <c r="F96" i="1"/>
  <c r="F202" i="1"/>
  <c r="F162" i="1"/>
  <c r="F156" i="1"/>
  <c r="N209" i="1"/>
  <c r="F130" i="1"/>
  <c r="G209" i="1"/>
  <c r="F12" i="1"/>
  <c r="F24" i="1"/>
  <c r="K209" i="1"/>
  <c r="H209" i="1"/>
  <c r="F142" i="1"/>
  <c r="F68" i="1"/>
  <c r="E208" i="1"/>
  <c r="D209" i="1" l="1"/>
  <c r="F178" i="1"/>
  <c r="F128" i="1"/>
  <c r="F208" i="1"/>
  <c r="E209" i="1"/>
  <c r="F209" i="1" l="1"/>
</calcChain>
</file>

<file path=xl/sharedStrings.xml><?xml version="1.0" encoding="utf-8"?>
<sst xmlns="http://schemas.openxmlformats.org/spreadsheetml/2006/main" count="566" uniqueCount="347">
  <si>
    <t>Ответственный исполнитель, соисполнитель</t>
  </si>
  <si>
    <t>Всего</t>
  </si>
  <si>
    <t>в том числе по источникам:</t>
  </si>
  <si>
    <t>федеральный бюджет</t>
  </si>
  <si>
    <t>бюджет Пензенской области</t>
  </si>
  <si>
    <t>бюджеты муниципальных образований Пензенской области</t>
  </si>
  <si>
    <t>внебюджетные источники</t>
  </si>
  <si>
    <t>план на год</t>
  </si>
  <si>
    <t>кассовые расходы</t>
  </si>
  <si>
    <t>Основные этапы выполнения мероприятия и показатели реализации мероприятия, един. изм.</t>
  </si>
  <si>
    <t>план</t>
  </si>
  <si>
    <t>факт</t>
  </si>
  <si>
    <t>Основное мероприятие 1.1 «Развитие системы дошкольного бразования»</t>
  </si>
  <si>
    <t>Министерство образования Пензенской области, органы местного самоуправления муниципальных районов (городских округов) (по согласованию)</t>
  </si>
  <si>
    <t>Подпрограмма 1 «Развитие дошкольного, общего и дополнительного образования детей»</t>
  </si>
  <si>
    <t>Объем финансирования государственной программы (за отчетный период), тыс.руб.</t>
  </si>
  <si>
    <t>втом числе:</t>
  </si>
  <si>
    <t>1.1</t>
  </si>
  <si>
    <t>1.1.1</t>
  </si>
  <si>
    <t>1.1.2</t>
  </si>
  <si>
    <t>1.1.3</t>
  </si>
  <si>
    <t>1.1.4</t>
  </si>
  <si>
    <t>1.1.5</t>
  </si>
  <si>
    <t>1.2</t>
  </si>
  <si>
    <t>1.2.1</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</si>
  <si>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</si>
  <si>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1.2.2</t>
  </si>
  <si>
    <t>1.2.3</t>
  </si>
  <si>
    <t>Министерство образования Пензенской области, ГАОУ ДПО "Институт регионального развития Пензенской области"</t>
  </si>
  <si>
    <t>1.2.5</t>
  </si>
  <si>
    <t>Министерство образования Пензенской области</t>
  </si>
  <si>
    <t>1.2.9</t>
  </si>
  <si>
    <t>Министерство образования Пензенской области, ГБНОУ ПО "Губернский лицей"</t>
  </si>
  <si>
    <t>Министерство образования Пензенской области, государственные образовательные организации Пензенской области, главным распорядителем бюджетных средств которых является Министерство образования Пензенской области</t>
  </si>
  <si>
    <t>Министерство образования Пензенской области, ГБУ ПО "Центр психолого-педагогической, медицинской и социальной помощи Пензенской области"</t>
  </si>
  <si>
    <t>1.2.15</t>
  </si>
  <si>
    <t>Основное мероприятие 1.3 «Развитие системы дополнительного образования детей»</t>
  </si>
  <si>
    <t>1.3</t>
  </si>
  <si>
    <t>в том числе:</t>
  </si>
  <si>
    <t>1.4</t>
  </si>
  <si>
    <t>1.4.1</t>
  </si>
  <si>
    <t>1.4.2</t>
  </si>
  <si>
    <t>Министерство образования Пензенской области, государственные образовательные организации Пензенской области для детей-сирот и детей, оставшихся без попечения родителей, функции и полномочия учредителя в отношении которых осуществляет Министерство образования Пензенской области</t>
  </si>
  <si>
    <t>1.4.3</t>
  </si>
  <si>
    <t>Подпрограмма 2 «Комплексная модернизация системы профессионального образования Пензенской области»</t>
  </si>
  <si>
    <t>2</t>
  </si>
  <si>
    <t>2.1</t>
  </si>
  <si>
    <t>Основное мероприятие 2.1 «Формирование эффективной территориально-отраслевой организации ресурсов системы профессионального образования, ориентированной на потребности перспективного регионального рынка труда»</t>
  </si>
  <si>
    <t>Основное мероприятие 2.5 «Повышение статуса педагогических кадров путем совершенствования системы профессионального обучения и дополнительного профессионального образования»</t>
  </si>
  <si>
    <t>Подпрограмма 4 «Обеспечение реализации государственной программы и прочих мероприятий к ней»</t>
  </si>
  <si>
    <t>Основное мероприятие 4.1 
«Обеспечение реализации мероприятий государственной программы»</t>
  </si>
  <si>
    <t xml:space="preserve">Министерство образования Пензенской области, органы местного самоуправления муниципальных районов (городских округов)
(по согласованию)
</t>
  </si>
  <si>
    <t>Итого по подпрограмме 4:</t>
  </si>
  <si>
    <t>Итого по подпрограмме 1:</t>
  </si>
  <si>
    <t>Итого по подпрограмме 2:</t>
  </si>
  <si>
    <t>1. 20
2. 50
3. 70</t>
  </si>
  <si>
    <t>процент осовения средств</t>
  </si>
  <si>
    <t>Выполнение основных этапов мероприятия и достижения показателей реализации мероприятия</t>
  </si>
  <si>
    <t>Отчет о ходе исполнения мероприятий с отражением конкретных, достигнутых результатов (выполненных работ, оказанных услуг и т.д.) с указанием един.изм.</t>
  </si>
  <si>
    <t>Возможные риски не реализации мероприятий, которые могут повлиять на выполнение целевого показателя, установленного в рамках выполнения мероприятий</t>
  </si>
  <si>
    <t>Причины невыполнения мероприятия, объемов финансирования мероприятия (проблемы организационного правового характера, а именно проведения конкурсных процедур, заключение госконтрактов, подготовка ПСД сокращение финансирования)</t>
  </si>
  <si>
    <t>1.3.6</t>
  </si>
  <si>
    <t>1.5.3</t>
  </si>
  <si>
    <t>2.5</t>
  </si>
  <si>
    <t>2.5.1</t>
  </si>
  <si>
    <t>2.5.2</t>
  </si>
  <si>
    <t>2.5.3</t>
  </si>
  <si>
    <t>2.5.5</t>
  </si>
  <si>
    <t>4</t>
  </si>
  <si>
    <t>4.1</t>
  </si>
  <si>
    <t>4.1.2</t>
  </si>
  <si>
    <t>Основное мероприятие 1.2 «Развитие системы общего образования, создание условий для равного доступа к качественному образованию детей с ограниченными возможностями здоровья, создание единой информационной среды образования»</t>
  </si>
  <si>
    <t>1.2.4</t>
  </si>
  <si>
    <t>1.2.12</t>
  </si>
  <si>
    <t>1.2.7</t>
  </si>
  <si>
    <t xml:space="preserve">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
</t>
  </si>
  <si>
    <t>1.3.3</t>
  </si>
  <si>
    <t>2.5.4</t>
  </si>
  <si>
    <t>4.1.4</t>
  </si>
  <si>
    <t>"РАЗВИТИЕ ОБРАЗОВАНИЯ В ПЕНЗЕНСКОЙ ОБЛАСТИ"</t>
  </si>
  <si>
    <t>ОТЧЕТ об исполнении основных мероприятий (региональных проектов), мероприятий государственной программы Пензенской области</t>
  </si>
  <si>
    <t xml:space="preserve">№ основного мероприятия (регионального проекта), мероприятия в соответствии с номером Перечня основных мероприятий (региональных проектов), мероприятий государственной программы
</t>
  </si>
  <si>
    <t>Наименование основных мероприятий (региональных проектов), мероприятий</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</si>
  <si>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(администрирование)</t>
  </si>
  <si>
    <t>Проведение областного конкурса "Лучший воспитатель образовательной организации"</t>
  </si>
  <si>
    <t>Ресурсное обеспечение деятельности общеобразовательных организаций (вечерние школы)</t>
  </si>
  <si>
    <t>Ресурсное  обеспечение деятельности общеобразовательных организаций 
(ГБНОУ ПО "Губернский лицей")</t>
  </si>
  <si>
    <t>Ресурсное  обеспечение деятельности общеобразовательных  организаций (для обучения по адаптированным образовательным программам)</t>
  </si>
  <si>
    <t>Ресурсное  обеспечение деятельности ГБУ ПО "Центр психолого-педагогической, медицинской и социальной помощи Пензенской области"</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</si>
  <si>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t>
  </si>
  <si>
    <t>1.2.6</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</si>
  <si>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 (администрирование)</t>
  </si>
  <si>
    <t>Проведение регионального этапа всероссийского конкурса "Учитель года" и участие во всероссийском этапе</t>
  </si>
  <si>
    <t>1.3.2</t>
  </si>
  <si>
    <t>Ресурсное  обеспечение деятельности организаций, предоставляющих  дополнительное образование для  детей</t>
  </si>
  <si>
    <t>Поддержка системы спортивно-массовой и физкультурно-оздоровительной работы в образовательных организациях Пензенской области (обеспечение календаря региональных и всероссийских спортивных мероприятий), проведение организационно-методических мероприятий по формированию здорового образа жизни учащихся</t>
  </si>
  <si>
    <t>Поддержка системы массовых мероприятий по различным направлениям образования</t>
  </si>
  <si>
    <t>Ресурсное  обеспечение деятельности ГБУ ПО "Спасский детский дом"</t>
  </si>
  <si>
    <t>1.4.4</t>
  </si>
  <si>
    <t>Участие во всероссийских и окружных мероприятиях, проведение региональных мероприятий с целью интеграции детей-сирот и детей, оставшихся без попечения родителей, детей-инвалидов, детей с ограниченными возможностями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</si>
  <si>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</si>
  <si>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1.5. (Н01-2)</t>
  </si>
  <si>
    <t>Региональный проект "Содействие занятости женщин - создание условий дошкольного образования для детей в возрасте до трех лет"</t>
  </si>
  <si>
    <t>1.6. (Н03-1)</t>
  </si>
  <si>
    <t>Региональный проект "Современная школа"</t>
  </si>
  <si>
    <t>1.6.2</t>
  </si>
  <si>
    <t>1.7. (Н03-2)</t>
  </si>
  <si>
    <t>Региональный проект "Успех каждого ребенка"</t>
  </si>
  <si>
    <t>2.1.1</t>
  </si>
  <si>
    <t>Ресурсное обеспечение деятельности организаций профессионального образования</t>
  </si>
  <si>
    <t>2.3. (Н03-5)</t>
  </si>
  <si>
    <t>Региональный проект "Учитель будущего"</t>
  </si>
  <si>
    <t>2.3.1</t>
  </si>
  <si>
    <t>2.3.2</t>
  </si>
  <si>
    <t>2.4. (Н03-6)</t>
  </si>
  <si>
    <t>Региональный проект "Молодые профессионалы (Повышение конкурентоспособности профессионального образования)"</t>
  </si>
  <si>
    <t xml:space="preserve">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t>
  </si>
  <si>
    <t>Ресурсное обеспечение деятельности ГАОУ ДПО "Институт регионального развития Пензенской области"</t>
  </si>
  <si>
    <t>Предоставление гражданину в период обучения в организации, осуществляющей образовательную деятельность по образовательным программам высшего образования, мер социальной поддержки. Порядок предоставления мер социальной поддержки устанавливается Министерством образования Пензенской области</t>
  </si>
  <si>
    <t>Обеспечение деятельности аппарата Министерства образования Пензенской области</t>
  </si>
  <si>
    <t>4.2</t>
  </si>
  <si>
    <t>4.2.1</t>
  </si>
  <si>
    <t>Основное мероприятие "Реализация отдельных мероприятий государственных программ Российской Федерации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</si>
  <si>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ГАПОУ ПО "Пензенский социально-педагогический колледж"</t>
  </si>
  <si>
    <t>Всего по государственной программе</t>
  </si>
  <si>
    <t xml:space="preserve">1) 20;
2) 50;
3) 70
</t>
  </si>
  <si>
    <t xml:space="preserve">Министерство образования Пензенской области
</t>
  </si>
  <si>
    <t>1.2.14</t>
  </si>
  <si>
    <t>Мероприятия по организации деятельности школьных спортивных клубов по футболу в муниципальных общеобразовательных организациях Пензенской области</t>
  </si>
  <si>
    <t xml:space="preserve">Министерство образования Пензенской области, органы местного самоуправления муниципальных районов (по согласованию)
</t>
  </si>
  <si>
    <t>1.9. (Н09-3)</t>
  </si>
  <si>
    <t>Региональный проект «Кадры для цифровой экономики»</t>
  </si>
  <si>
    <t>Развитие и распространение лучшего опыта в сфере формирования цифровых навыков образовательных организаций, осуществляющих образовательную деятельность по общеобразовательным программам, имеющих лучшие результаты в преподавании предметных областей «Математика», «Информатика» и «Технология» в рамках государственной программы Российской Федерации «Развитие образования»</t>
  </si>
  <si>
    <t>1.9.1</t>
  </si>
  <si>
    <t>4.3. (Н03-4)</t>
  </si>
  <si>
    <t>Региональный проект «Цифровая образовательная среда»</t>
  </si>
  <si>
    <t>4.3.1</t>
  </si>
  <si>
    <t>Создание центра цифрового образования детей «IT-куб»</t>
  </si>
  <si>
    <t xml:space="preserve">
1.8. (Н03-3)
</t>
  </si>
  <si>
    <t>1.8.1</t>
  </si>
  <si>
    <t>Государственная поддержка некоммерческих организаций в целях оказания психолого-педагогической, методической и консультативной помощи гражданам, имеющим детей</t>
  </si>
  <si>
    <t>2.1.2</t>
  </si>
  <si>
    <t>Обновление и совершенствование материально-технической базы профессиональных образовательных организаций</t>
  </si>
  <si>
    <t>Министерство образования Пензенской области, органы местного самоуправления муниципальных районов (городских округов) (по согласованию)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</si>
  <si>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Проведение аттестации в целях установления квалификационной категории педагогических работников организаций, осуществляющих образовательную деятельность и находящихся 
в ведении Пензенской области, педагогических работников муниципальных и частных организаций, осуществляющих образовательную деятельность</t>
  </si>
  <si>
    <t>Проведение прочих мероприятий, исследований и мониторингов в сфере образования</t>
  </si>
  <si>
    <t>Обучается 4 детей-инвалидов</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</si>
  <si>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</si>
  <si>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</si>
  <si>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 (администрирование)</t>
  </si>
  <si>
    <t>Обучение детей-инвалидов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в соответствии с частью 4 статьи 5 Закона Пензенской области от 30.06.2009 № 1752-ЗПО «О реализации основных гарантий прав и законных интересов ребенка в Пензенской области» (с последующими изменениями)</t>
  </si>
  <si>
    <t>Министерство образования Пензенской области, АНО ДО "Кванториум НЭЛ"</t>
  </si>
  <si>
    <t>Министерство образования Пензенской области, органы местного самоуправления муниципальных районов и городских округов (по согласованию)</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</si>
  <si>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</si>
  <si>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</si>
  <si>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некоммерческие организации, не являющимся казенными учреждениями, в отношении которых Министерство образования Пензенской области не осуществляет функции и полномочия учредителя</t>
  </si>
  <si>
    <t>Министерство образования Пензенской области, некоммерческие организации, не являющимся казенными учреждениями, в отношении которых Министерство образования Пензенской области не осуществляет функции и полномочия учредителя</t>
  </si>
  <si>
    <t>Развитие сети образовательных организаций, осуществляющих образовательную деятельность по образовательным программам дошкольного образования, в том числе строительство, реконструкцию, приобретение (выкуп) зданий (пристроев к зданиям) и помещений дошкольных организаций, проведение ремонта дошкольных организаций, в том числе помещений для осуществления деятельности дошкольных организаций</t>
  </si>
  <si>
    <t>-</t>
  </si>
  <si>
    <t>Обеспечение печатными изданиями "Дневник школьника Пензенской области" муниципальных районов и городских округов Пензенской области</t>
  </si>
  <si>
    <t>январь-декабрь 2020 года.
Доля детей, занимающихся физической культурой и спортом в общем количестве обучающихся в образовательных организациях 
Пензенской области, %</t>
  </si>
  <si>
    <t>Основное мероприятие 1.4 «Реализация государственной политики в сфере защиты детей-сирот и детей, оставшихся без попечения родителей»</t>
  </si>
  <si>
    <t xml:space="preserve">Субвенция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 </t>
  </si>
  <si>
    <t>Субвенция на исполнение государственных полномочий по организации и осуществлению деятельности по опеке и попечительству</t>
  </si>
  <si>
    <t>Модернизация  инфраструктуры общего образования (проведение капитального ремонта, реконструкции, строительства (пристроя к зданиям) зданий школ, возврат в систему общего образования зданий, используемых не по назначению, приобретение (выкуп), аренда зданий и помещений), в том числе оснащение (переоснащение) новых мест</t>
  </si>
  <si>
    <t>январь-декабрь 2020 года.
Количество оказанных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единица</t>
  </si>
  <si>
    <t>Вовлечение в различные формы поддержки и сопровождения в первые три года работы учителей в возрасте до 35 лет</t>
  </si>
  <si>
    <t>октябрь-декабрь 2020 года.
Доля получивших государственную поддержку от общего числа получателей, %</t>
  </si>
  <si>
    <t xml:space="preserve">Непрерывное и планомерное повышение квалификации педагогических работников, в том числе на основе использования современных цифровых технологий, формирования и участия в профессиональных ассоциациях, программах обмена опытом и лучшими практиками, привлечение работодателей к дополнительному профессиональному образованию педагогических работников, в том числе в форме стажировок </t>
  </si>
  <si>
    <t>Реализация мероприятия "Субсидии на реализацию пилотных проектов по обновлению содержания и технологий дополнительного образования по приоритетным направлениям" приоритетного проекта "Доступное дополнительное образование для детей" направления (подпрограммы) "Развитие дополнительного образования детей и реализация мероприятий молодежной политики" государственной программы Российской Федерации "Развитие образования" путем софинансирования из средств бюджета Пензенской области грантов в форме субсидий юридическим лицам</t>
  </si>
  <si>
    <t xml:space="preserve">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</si>
  <si>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</si>
  <si>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</si>
  <si>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1.3.4</t>
  </si>
  <si>
    <t>Функционирование детского технопарка АНО ДО "Кванториум НЭЛ" и мобильных технопарков АНО ДО "Кванториум НЭЛ"</t>
  </si>
  <si>
    <t>Региональный проект «Поддержка семей, имеющих детей»</t>
  </si>
  <si>
    <t>июль-декабрь 2020 года.
Количество организаций, получивших гранты, единица</t>
  </si>
  <si>
    <t>2.1.3</t>
  </si>
  <si>
    <t>Ресурсное обеспечение центров 
цифрового образования "IT-куб" государственных автономных профессиональных образовательных учреждений Пензенской области</t>
  </si>
  <si>
    <t>октябрь-декабрь 2020 года.
1) Доля педагогических работников, прошедших различные формы повышения квалификации, 
от общего числа педагогов, подавших заявление на прохождение различных форм повышения квалификации,%
2) Количество педагогических работников, прошедших повышение квалификации в форме стажировки, чел.</t>
  </si>
  <si>
    <t>1.2.11</t>
  </si>
  <si>
    <t>Предоставление грантов в форме субсидии общеобразовательным организациям из бюджета Пензенской области на поддержку и развитие качественного общего образования</t>
  </si>
  <si>
    <t xml:space="preserve">октябрь-декабрь 2020 года.
Количество школ-победителей, шт.
</t>
  </si>
  <si>
    <t>3 городские школы, 3 сельские школы (победители по итогам 2018/ 2019 учебного  года)</t>
  </si>
  <si>
    <t>Проведение мероприятий, направленных на подготовку, участие и поддержку одаренных детей,  в том числе организация и проведение региональных олимпиад по общеобразовательным предметам, научно-практических конференций, учебных сборов, участие команды Пензенской области во всероссийских и международных олимпиадах, а также предоставление единовременных денежных выплат победителям и призерам заключительного этапа всероссийской олимпиады школьников и педагогам, их подготовившим (Порядок предоставления единовременной денежной выплаты устанавливается  Министерством образования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</si>
  <si>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 Министерство физической культуры и спорта Пензенской области, функции и полномочия учредителя в отношении которых осуществляет Министерство физической культуры и спорта Пензенской области</t>
  </si>
  <si>
    <t>Министерство образования Пензенской области, органы местного самоуправления муниципальных районов и городских округов (по согласованию), Департамент градостроительства и архитектуры Пензенской области, Министерство строительства и дорожного хозяйства Пензенской области</t>
  </si>
  <si>
    <t>1)100;
2)-</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</si>
  <si>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</si>
  <si>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1.2.23</t>
  </si>
  <si>
    <t>1.2.24</t>
  </si>
  <si>
    <t>1)1800; 2)1</t>
  </si>
  <si>
    <t>1.6.5</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</si>
  <si>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</si>
  <si>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1.6.6</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</si>
  <si>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</si>
  <si>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инистерство образования Пензенской области; государственные организации, функции и полномочия учредителя в отношении которых осуществляет Министерство образования Пензенской области</t>
  </si>
  <si>
    <t>Создание детских технопарков "Кванториум"</t>
  </si>
  <si>
    <t>1.6.7</t>
  </si>
  <si>
    <t>Министерство образования Пензенской области; государственные организации,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</si>
  <si>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1.6.8</t>
  </si>
  <si>
    <t>1.7.2</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</si>
  <si>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</si>
  <si>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Ресурсное обеспечение центра опережающей профессиональной подготовки</t>
  </si>
  <si>
    <t>2.1.4</t>
  </si>
  <si>
    <t>Обеспечение выплат ежемесячного денежного вознаграждения за классное руководство педагогическим работникам организаций среднего профессионального образования, реализующих образовательные программы подготовки квалифицированных рабочих, служащих и подготовки специалистов среднего звена на базе основного общего образования, в том числе адаптированные программы, на которых возложено исполнение функций классного руководства в группах 1 и 2 курсов</t>
  </si>
  <si>
    <t>2.1.5</t>
  </si>
  <si>
    <t>2.4.4</t>
  </si>
  <si>
    <t>Создание условий для повышения практикоориентированности образовательных программ, в том числе для внедрения адаптивных и гибких образовательных программ</t>
  </si>
  <si>
    <t>Осуществление денежных выплат молодым специалистам (педагогическим работникам государственных (муниципальных) образовательных организаций)</t>
  </si>
  <si>
    <t>2.5.6</t>
  </si>
  <si>
    <t>Непрерывное и планомерное повышение квалификации педагогических работников, в том числе на основе использования современных цифровых технологий, формирования и участия в профессиональных ассоциациях, программах обмена опытом и лучшими практиками, привлечение работодателей к дополнительному профессиональному образованию педагогических работников, в том числе в форме стажировок</t>
  </si>
  <si>
    <t>Обеспечение образовательных организаций материально-технической базой для внедрения цифровой образовательной среды</t>
  </si>
  <si>
    <t>4.3.3</t>
  </si>
  <si>
    <t>1) 70; 2) 100; 3) 50</t>
  </si>
  <si>
    <t>100;-</t>
  </si>
  <si>
    <t>1.4.7</t>
  </si>
  <si>
    <t>Выплаты, установленные Законом Пензенской области от 12.09.2006 № 1098-ЗПО «О мерах социальной поддержки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проживающих на территории Пензенской области»</t>
  </si>
  <si>
    <t>2.1.7</t>
  </si>
  <si>
    <t>2.1.8</t>
  </si>
  <si>
    <t xml:space="preserve"> Обеспечение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t>
  </si>
  <si>
    <t>2.1.9</t>
  </si>
  <si>
    <t>Выплаты, установленные Законом Пензенской области от 04.07.2013 № 2413-ЗПО «Об образовании в Пензенской области»</t>
  </si>
  <si>
    <t>Выплата стипендий студентам, обучающимся по очной форме обучения в государственных профессиональных образовательных организациях Пензенской области за счет бюджетных ассигнований бюджета Пензенской области, а также оказание материальной поддержки нуждающимся обучающимся</t>
  </si>
  <si>
    <t>январь-декабрь 2022 года.
Доля компенсации родительской платы 
за присмотр и уход за детьми 
в образовательных организациях, реализующих образовательные программы дошкольного образования:
1) на первого ребенка 
2) на второго ребенка
3) на третьего ребенка и последующих детей, %</t>
  </si>
  <si>
    <t>Субвенции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</si>
  <si>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1.2.28</t>
  </si>
  <si>
    <t>1.2.29</t>
  </si>
  <si>
    <t>1.2.30</t>
  </si>
  <si>
    <t>Модернизация школьных систем образования в государственных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</si>
  <si>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и Министерство строительства и дорожного хозяйства Пензенской области</t>
  </si>
  <si>
    <t>1.2.31</t>
  </si>
  <si>
    <t>Субсидия на реализацию мероприятий по модернизации школьных систем образования в муниципальных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</si>
  <si>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органы местного самоуправления муниципальных районов и городских округов (по согласованию)</t>
  </si>
  <si>
    <t>1.2.32</t>
  </si>
  <si>
    <t>Расходы на организацию изучения истории Пензенского края и издание научной литературы</t>
  </si>
  <si>
    <t>Министерство образования Пензенской области,ГАОУ ДПО "Институт регионального развития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</si>
  <si>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1.2.33</t>
  </si>
  <si>
    <t>Модернизация пищеблоков в муниципальных общеобразовательных организациях, реализующих программы начального общего, основного общего и среднего общего образования</t>
  </si>
  <si>
    <t>1.4.5</t>
  </si>
  <si>
    <t>Награждение участников и победителя финала областного конкурса "Успешная семья"</t>
  </si>
  <si>
    <t>1.6.9</t>
  </si>
  <si>
    <t>Создание новых мест в общеобразовательных организациях в связи с ростом числа обучающихся, вызванным демографическим фактором</t>
  </si>
  <si>
    <t>1.6.10</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</si>
  <si>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</si>
  <si>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1.6.11</t>
  </si>
  <si>
    <t>Создание новых мест в общеобразовательных организациях при осуществлении капитальных вложений в объекты капитального строительства</t>
  </si>
  <si>
    <t>Министерство образования Пензенской области, Министерство строительства и дорожного хозяйства Пензенской области, администрация Пензенского района</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</si>
  <si>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</si>
  <si>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1.7.7</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</si>
  <si>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</si>
  <si>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2.1.10</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</si>
  <si>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Министерство физической культуры и спорта Пензенской области, государственные организации Пензенской области, функции и полномочия учредителя в отношении которых осуществляет Министерство физической культуры и спорта Пензенской области, Министерство культуры и туризма Пензенской области,  государственные организации Пензенской области, функции и полномочия учредителя в отношении которых осуществляет Министерство культуры и туризма Пензенской области, Министерство труда, социальной защиты и демографии Пензенской области, государственные организации Пензенской области, функции и полномочия учредителя в отношении которых осуществляет Министерство труда, социальной защиты и демографии Пензенской области, Министерство здравоохранения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здравоохранения Пензенской области</t>
  </si>
  <si>
    <t>2.4.5</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</si>
  <si>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</si>
  <si>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2.5.8</t>
  </si>
  <si>
    <t>Награждение победителей областного конкурса для педагогических работников, преподающих дисциплины сферы информационных технологий</t>
  </si>
  <si>
    <t>Субвенции на исполнение государственных полномочий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населенных пунктах, рабочих поселках (поселках городского типа) на территории Пензенской области, а также педагогическим работникам образовательных организаций, достигшим возраста для мужчин 60 лет, для женщин 55 лет либо ранее достижения этого возраста при возникновении права на досрочную страховую пенсию по старости или установлении (назначении) им досрочной страховой пенсии по старости, страховой пенсии по инвалидности в соответствии с Федеральным законом от 28 декабря 2013 года № 400-ФЗ «О страховых пенсиях» и проживающим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десяти лет</t>
  </si>
  <si>
    <t>Социологическое исследование в целях определения рейтинга глав администраций муниципальных образований Пензенской области и руководителей органов государственной власти Пензенской области, отражающего отношение населения к ним и уровень доверия в 2022 году</t>
  </si>
  <si>
    <t>4.1.7</t>
  </si>
  <si>
    <t>Министерство образования Пензенской области, ГАОУ ДПО «Институт регионального развития Пензенской области»</t>
  </si>
  <si>
    <t>4.1.8</t>
  </si>
  <si>
    <t>Осуществление переданных полномочий Российской Федерации в сфере образования, указанных в части 1 статьи 7 Федерального закона от 29.12.2012 № 273-ФЗ «Об образовании в Российской Федерации»</t>
  </si>
  <si>
    <t>4.1.9</t>
  </si>
  <si>
    <t>4.1.10</t>
  </si>
  <si>
    <t>Реализация пилотных проектов, направленных на повышение качества образования на территории Пензенской области</t>
  </si>
  <si>
    <t>Предоставление из бюджета Пензенской области субсидий Российскому научному фонду в целях создания условий, обеспечивающих поддержку фундаментальных научных исследований и поисковых научных исследований, направленных на решение задач социально-экономического развития Пензенской области</t>
  </si>
  <si>
    <t>Министерство образования Пензенской области,</t>
  </si>
  <si>
    <t>январь-декабрь 2022 года.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ед.</t>
  </si>
  <si>
    <t>январь-декабрь 2022 года.
Доля детей, получающих дошкольное образование, в общей численности детей дошкольного возраста, посещающих муниципальные дошкольные образовательные организации и частные дошкольные образовательные организации, %</t>
  </si>
  <si>
    <t>апрель-декабрь 2022 года.
Количество педагогических работников-победителей и призеров конкурса, человек</t>
  </si>
  <si>
    <t>январь-декабрь 2022 года.
Количество организаций, ед.</t>
  </si>
  <si>
    <t>январь-декабрь 2022 года.
Доля обучающихся, получающих начальное, основное и среднее общее образование, в общей численности обучающихся 
в муниципальных общеобразовательных организациях, %</t>
  </si>
  <si>
    <t>апрель-декабрь 2022 года.
Количество учителей - победителей и призеров регионального этапа конкурса, человек</t>
  </si>
  <si>
    <t>январь-декабрь 2022 года.
Количество проведенных региональных олимпиад по общеобразовательным предметам, научно-практических конференций и учебных сборов, ед.;
количество победителей и призеров заключительного этапа всероссийской олимпиады школьников, ед.</t>
  </si>
  <si>
    <t>январь-декабрь 2022 года.
Доля детей-инвалидов, обучающихся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от общего количества детей-инвалидов, обратившихся за данной услугой, %</t>
  </si>
  <si>
    <t>январь-декабрь 2022 года.
Количество обучающихся, состоящих в школьных спортивных клубах по футболу в муниципальных общеобразовательных организациях Пензенской области, человек</t>
  </si>
  <si>
    <t>июль-декабрь 2022 года.
Доля обучающихся 2-5 классов муниципальных образовательных организаций, получивших печатное издание «Дневник школьника Пензенской области», от общего числа обучающихся 2-5 классов муниципальных образовательных организаций, %</t>
  </si>
  <si>
    <t>1.2.16</t>
  </si>
  <si>
    <t>Обеспечение печатными изданиями "Культурный дневник школьника Пензенской области" образовательных организаций муниципальных районов и городских округов Пензенской области, ГБНОУ ПО "Губернский лицей"</t>
  </si>
  <si>
    <t>июль-декабрь 2022 года.
Количество обучающихся, обеспеченных печатными изданиями "Культурный дневник школьника Пензенской области", человек</t>
  </si>
  <si>
    <t>январь-декабрь 2022 года.
Доля педагогических работников общеобразовательных организаций, получивших вознаграждение за исполнение функций классного руководства, в общей численности педагогических работников данной категории, %</t>
  </si>
  <si>
    <t>январь-декабрь 2022 года.
Доля обучающихся, получающих начальное общее образование в государственных и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государственных и муниципальных образовательных организациях , %</t>
  </si>
  <si>
    <t>январь-декабрь 2022 года.
Доля лиц, которым представлена денежная компенсация бесплатного двухразового питания обучающимся с ограниченными возможностями здоровья, в общем количестве обратившихся, %</t>
  </si>
  <si>
    <t>октябрь-декабрь 2022 года.
Количество объектов, в которых в полном объеме выполнены мероприятия по капитальному ремонту общеобразовательных организаций, ед.</t>
  </si>
  <si>
    <t>октябрь-декабрь 2022 года.
1) Количество томов книги "История Пензенского края", шт.;
2) Количество экземпляров, экземпляров.</t>
  </si>
  <si>
    <t>октябрь-декабрь 2022 года.
Количество школ в которых осуществлена замена технологического оборудования (пищеблоки), ед.</t>
  </si>
  <si>
    <t xml:space="preserve">январь-декабрь 2022 года.
Количество организаций, ед.
</t>
  </si>
  <si>
    <t>январь-декабрь 2022 года.
1)Численность детей, охваченных дополнительными общеобразовательными программами, человек;
2)Количество мобильных технопарков, шт.</t>
  </si>
  <si>
    <t>октябрь-декабрь 2022 года.
Количество проведенных мероприятий, ед.</t>
  </si>
  <si>
    <t>январь-декабрь 2022 года.
Доля лиц, которым предоставлены меры социальной поддержки, в общем количестве обратившихся, %</t>
  </si>
  <si>
    <t>январь-декабрь 2022 года.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по организации и осуществлению деятельности по опеке и попечительству, 
а также выполнение полномочий органов опеки и попечительства, ед.</t>
  </si>
  <si>
    <t>октябрь-декабрь 2022 года.
Количество мероприятий, шт.</t>
  </si>
  <si>
    <t>апрель-декабрь 2022 года.
Количество семей, получивших денежное вознаграждение, семей</t>
  </si>
  <si>
    <t>январь-декабрь 2022 года.
Доля лиц в организациях, которым предоставлены меры социальной поддержки, функции и полномочия учредителя в отношении которых осуществляет Министерство образования Пензенской области, в общем количестве обратившихся, %</t>
  </si>
  <si>
    <t>январь-декабрь 2022 года.
Обеспечение доступности дошкольного образования для детей в возрасте от 2 месяцев до 3 лет (отношение численности детей в возрасте от 2 месяцев до 3 лет, получающих дошкольное образование в текущем учебном году, к сумме численности детей в возрасте от 2 месяцев до 3 лет, получающих дошкольное образование в текущем учебном году, и численности детей в возрасте от 2 месяцев до 3 лет, находящихся в очереди на получение в текущем году дошкольного образования) при условии сохранения 100% доступности дошкольного образования для детей в возрасте от 3 до 7 лет , %</t>
  </si>
  <si>
    <t>октябрь-декабрь 2022 года.
Количество новых мест в общеобразовательных организациях Пензенской области, в том числе введенных путем строительства (приобретения) объектов инфраструктуры общего образования, место</t>
  </si>
  <si>
    <t>июль-декабрь 2022 года.
В общеобразовательных организациях, расположенных в сельской местности и малых городах, созданы и функционируют центры образования естественно-научной и технологической направленностей</t>
  </si>
  <si>
    <t>июль-декабрь 2022 года.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ед.</t>
  </si>
  <si>
    <t>июль-декабрь 2022 года.
На базе общеобразовательных организаций созданы и функционируют детские технопарки «Кванториум»,  ед.</t>
  </si>
  <si>
    <t>апрель-декабрь 2022 года.
Количество оказанных услуг психолого-педагогической помощи.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ед.</t>
  </si>
  <si>
    <t>апрель-декабрь 2022 года.
Создано новых мест в общеобразовательных организациях в связи с ростом числа обучающихся, вызванным демографическим фактором, место</t>
  </si>
  <si>
    <t>июль-декабрь 2022 года.
Обеспечена реализация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человек</t>
  </si>
  <si>
    <t>апрель-декабрь 2022 года.
Создано новых мест в общеобразовательных организациях, возникающих при осуществлении капитальных вложений в объекты капитального строительства,  место</t>
  </si>
  <si>
    <t>июль-декабрь 2022 года.
11) количество общеобразовательных организаций, в которых обновлена материально-техническая база для занятия физической культурой и спортом;ед.
2) количество обучающихся в общеобразовательных организациях, в которых обновлена материально-техническая база для занятия физической культурой и спортом;ед.
3) количество общеобразовательных организаций, в которых отремонтированы спортивные залы;ед.
4) количество общеобразовательных организаций, в которых имеющиеся аудитории перепрофилированы под спортивные залы для занятия физической культурой и спортом;ед.
5) увеличение количества школьных спортивных клубов для занятия физической культурой и спортом, которые созданы в организациях;ед.
6) количество общеобразовательных организаций, в которых открытые плоскостные спортивные сооружения оснащены спортивным инвентарем и оборудованием, ед.</t>
  </si>
  <si>
    <t>июль-декабрь 2022 года.
Созданы новые места в образовательных организациях различных типов для реализации дополнительных общеразвивающих программ всех направленностей, тысяча единиц</t>
  </si>
  <si>
    <t xml:space="preserve">апрель-декабрь 2022 года.
Количество профессиональных образовательных организаций, в которых проведены мероприятия по обновлению и совершенствованию, ед.
</t>
  </si>
  <si>
    <t>январь-декабрь 2022 года.
Количество центров, ед.</t>
  </si>
  <si>
    <t>январь-декабрь 2022 года.
Процент охвата обеспечением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 %</t>
  </si>
  <si>
    <t>январь-декабрь 2022 года.
Доля лиц, которым предоставлены меры социальной поддержки, функции и полномочия учредителя в отношении которых осуществляет Министерство образования Пензенской области, в общей количестве обратившихся, %</t>
  </si>
  <si>
    <t>январь-декабрь 2022 года.
Количество выплат ежемесячного денежного вознаграждения за классное руководство (кураторство)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предоставляемых работникам образовательных организаций,%</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</si>
  <si>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</si>
  <si>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январь-декабрь 2022 года.
1) Доля образовательных организаций среднего профессионального и высшего образования, в которых обеспечены условия для получения среднего профессионального и высшего образования инвалидами и лицами 
с ограниченными возможностями здоровья, в том числе с использованием дистанционных образовательных технологий, в общем количестве таких организаций,%
2) Доля студентов средних профессиональных образовательных организаций, обучающихся по образовательным программам, в реализации которых участвуют работодатели (включая организацию учебной и производственной практики, предоставление оборудования и материалов, участие в разработке образовательных программ и оценке результатов их освоения, проведении учебных занятий), в общей численности студентов профессиональных образовательных организаций,%
3) Доля профессиональных образовательных организаций, в которых осуществляется подготовка кадров по 50 наиболее перспективным и востребованным на рынке труда профессиям и специальностям, требующим среднего профессионального образования, в общем количестве профессиональных образовательных организаций,%</t>
  </si>
  <si>
    <t>июль-декабрь 2022 года.
Создана (обновлена) материально-техническая база образовательных организаций, реализующих программы среднего профессионального образования, единица</t>
  </si>
  <si>
    <t>январь-декабрь 2022 года.
Доля педагогических работников, прошедших аттестацию, от числа педагогических работников, подавших заявление на аттестацию, %</t>
  </si>
  <si>
    <t xml:space="preserve">январь-декабрь 2022 года.
1)Доля проведенных мероприятий, исследований и мониторингов от заявленных;
2)Количество награжденных
</t>
  </si>
  <si>
    <t>октябрь-декабрь 2022 года.
Доля получивших выплат молодых специалистов (педагогических работников государственных (муниципальных) образовательных организаций) от общего числа получателей, %</t>
  </si>
  <si>
    <t>январь-декабрь 2022 года.
Доля студентов, обучающихся по целевому приему и получающих меры социальной поддержки, от общего числа студентов, представивших необходимые документы для осуществления выплаты, %</t>
  </si>
  <si>
    <t>октябрь-декабрь 2022 года.
Количество победителей, чел.</t>
  </si>
  <si>
    <t>январь–декабрь 2022 г.
Выполнение плана деятельности Министерства образования Пензенской области, %</t>
  </si>
  <si>
    <t>январь–декабрь 2022 г.
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 %</t>
  </si>
  <si>
    <t>январь–декабрь 2022 г.
Количество муниципальных образований, участвующих в социологическом исследовании, единиц</t>
  </si>
  <si>
    <t>январь–декабрь 2022 г.
Количество проведенных процедур, ед.:
1) Федеральный государственный контроль (надзор) в сфере образования в отношении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2) Государственный контроль (надзор) за реализацией органами местного самоуправления полномочий в сфере образования;
3) Лицензирование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4) Государственная аккредитация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8 части 1 статьи 6 Федерального закона от 29.12.2012 № 273-ФЗ «Об образовании в Российской Федерации»;
5) Подтверждение документов об образовании и (или) о квалификации.</t>
  </si>
  <si>
    <t>апрель–декабрь 2022 г.
Количество пилотных проектов, направленных на повышение качества образования на территории Пензенской области, ед.</t>
  </si>
  <si>
    <t>апрель-декабрь 2022 года.
1. Число детей и подростков, охваченных проектом (чел/час), 
2. Количество сельских поселений, охваченных проектом (ед)
3. Количество программ дополнительного образования для удовлетворения различных видов социально-творческой деятельности (ед)</t>
  </si>
  <si>
    <t xml:space="preserve">июль-декабрь 2022 г.
Созданы центры цифрового образования детей "IT-куб", ед. 
</t>
  </si>
  <si>
    <t>июль-декабрь 2022 г.
Образовательные организации обеспечены материально-технической базой для внедрения цифровой образовательной среды, ед.</t>
  </si>
  <si>
    <t>Бюджетные ассигнования перенесены Законом Пензенской области от 11.03.2022 № 3803-ЗПО "О внесении изменений в Закон Пензенской области "О бюджете Пензенской области на 2022 год и на плановый период 2023 и 2024 годов" на государственную програму "Региональная политика, развитие гражданского общества в Пензенской области" от 27.09.2013 №733-пП</t>
  </si>
  <si>
    <t>Выплаты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</si>
  <si>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Ежемесячно получено выплат на 2168 ребенка-сироту, ед.</t>
  </si>
  <si>
    <t>Ежемесячно 11058 педагогов получали компенсацию по коммунальным расходам, чел.</t>
  </si>
  <si>
    <t>Более 130 тыс. обучающихся получили начальное, основное и среднее общее образование, чел.</t>
  </si>
  <si>
    <t>Более 54,2 тыс.  детей получили дошкольное образование, чел.</t>
  </si>
  <si>
    <t>апрель–декабрь 2021 г.
Количество научных проектов, финансируемых Российским научным фондом, ед.</t>
  </si>
  <si>
    <t>январь-декабрь 2022 года.
Доля педагогических работников образовательных организаций, получивших ежемесячное денежное вознаграждение за классное руководство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в общей численности педагогических работников такой категории), %</t>
  </si>
  <si>
    <t>за 1 полугодие 2022 года</t>
  </si>
  <si>
    <t>4.1.11</t>
  </si>
  <si>
    <t>Расходы на издание антологии «Пензенский край в мемуарах, художественной литературе и исследованиях»</t>
  </si>
  <si>
    <t>апрель–декабрь 2022 г.
Количество изданий, ед.</t>
  </si>
  <si>
    <t>Поддержка совместно с Российским научным фондом фундаментальных научных исследований и поисковых научных исследований, направленных на решение задач социально-экономического развития Пензенской области</t>
  </si>
  <si>
    <t>январь–декабрь 2022 г.
Количество проектов, реализуемых на территории Пензенской области совместно с Российским научным фондом, ед.</t>
  </si>
  <si>
    <t>январь-декабрь 2022 года.
Доля фактически выплаченных государственных академических стипендий студентам и государственных социальных стипендий студентам, обучающимся по очной форме обучения, от назначенных распорядительным актом руководителя организации,%</t>
  </si>
  <si>
    <t>октябрь-декабрь 2022 года.
1) Доля педагогических работников, прошедших различные формы повышения квалификации, от общего числа педагогов, подавших заявление на прохождение различных форм повышения квалификации, %</t>
  </si>
  <si>
    <t>1)13;
2)2;
3)45;
4)5;
5)25</t>
  </si>
  <si>
    <t>1) 2300;
2) 13;
3) -</t>
  </si>
  <si>
    <t>Ежемесячно численность детей, на которых была выплачена компенсация, составила:
- первый ребенок- 5216;
- второй ребенок - 7672;
- третий ребенок - 2155, чел.</t>
  </si>
  <si>
    <t>1)13;
2)2;
3)54;
4)5;
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</si>
</sst>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sz val="12"/>
      <color theme="1"/>
      <name val="Times New Roman"/>
      <family val="1"/>
      <charset val="204"/>
    </font>
    <font>
      <sz val="10"/>
      <color theme="1"/>
      <name val="Times New Roman"/>
      <family val="1"/>
      <charset val="204"/>
    </font>
    <font>
      <b/>
      <sz val="10"/>
      <color theme="1"/>
      <name val="Times New Roman"/>
      <family val="1"/>
      <charset val="204"/>
    </font>
    <font>
      <sz val="11"/>
      <name val="Times New Roman"/>
      <family val="1"/>
      <charset val="204"/>
    </font>
    <font>
      <sz val="14"/>
      <color theme="1"/>
      <name val="Times New Roman"/>
      <family val="1"/>
      <charset val="204"/>
    </font>
    <font>
      <sz val="16"/>
      <color theme="1"/>
      <name val="Times New Roman"/>
      <family val="1"/>
      <charset val="204"/>
    </font>
    <font>
      <sz val="18"/>
      <color theme="1"/>
      <name val="Times New Roman"/>
      <family val="1"/>
      <charset val="204"/>
    </font>
    <font>
      <sz val="12"/>
      <color theme="1"/>
      <name val="Times New Roman"/>
      <family val="1"/>
      <charset val="204"/>
    </font>
    <font>
      <sz val="9"/>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1">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vertical="top" wrapText="1"/>
    </xf>
    <xf numFmtId="0" fontId="2" fillId="0" borderId="0" xfId="0" applyFont="1"/>
    <xf numFmtId="0" fontId="1" fillId="0" borderId="0" xfId="0" applyFont="1" applyAlignment="1">
      <alignment horizontal="center" vertical="center"/>
    </xf>
    <xf numFmtId="0" fontId="1" fillId="0" borderId="1" xfId="0" applyFont="1" applyFill="1" applyBorder="1" applyAlignment="1">
      <alignment horizontal="center" vertical="top" wrapText="1"/>
    </xf>
    <xf numFmtId="0" fontId="1" fillId="0" borderId="0" xfId="0" applyFont="1" applyAlignment="1" applyProtection="1">
      <alignment horizontal="center" vertical="center"/>
      <protection locked="0"/>
    </xf>
    <xf numFmtId="0" fontId="1"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1" fillId="0" borderId="0" xfId="0" applyFont="1" applyFill="1" applyAlignment="1">
      <alignment horizontal="center" vertical="center"/>
    </xf>
    <xf numFmtId="0" fontId="1" fillId="0" borderId="0" xfId="0" applyFont="1" applyFill="1"/>
    <xf numFmtId="0" fontId="1" fillId="0" borderId="1" xfId="0" applyFont="1" applyBorder="1" applyAlignment="1">
      <alignment horizontal="justify" vertical="center" wrapText="1"/>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165" fontId="5" fillId="0" borderId="1" xfId="0" applyNumberFormat="1" applyFont="1" applyBorder="1" applyAlignment="1">
      <alignment horizontal="center" vertical="center" wrapText="1"/>
    </xf>
    <xf numFmtId="165" fontId="4" fillId="0" borderId="0" xfId="0" applyNumberFormat="1" applyFont="1" applyAlignment="1">
      <alignment horizontal="center" vertical="center"/>
    </xf>
    <xf numFmtId="165" fontId="4" fillId="0" borderId="1" xfId="0" applyNumberFormat="1" applyFont="1" applyBorder="1" applyAlignment="1">
      <alignment vertical="center" wrapText="1"/>
    </xf>
    <xf numFmtId="49" fontId="4"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5" fillId="0" borderId="5" xfId="0" applyFont="1" applyBorder="1" applyAlignment="1">
      <alignment horizontal="justify" vertical="center" wrapText="1"/>
    </xf>
    <xf numFmtId="164" fontId="5" fillId="0" borderId="1"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justify" vertical="center" wrapText="1"/>
      <protection locked="0"/>
    </xf>
    <xf numFmtId="164" fontId="4" fillId="2" borderId="1" xfId="0" applyNumberFormat="1" applyFont="1" applyFill="1" applyBorder="1" applyAlignment="1" applyProtection="1">
      <alignment horizontal="center" vertical="center" wrapText="1"/>
      <protection locked="0"/>
    </xf>
    <xf numFmtId="164"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49" fontId="4" fillId="3"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165" fontId="4"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1" fillId="2" borderId="0" xfId="0" applyFont="1" applyFill="1"/>
    <xf numFmtId="0" fontId="1" fillId="2" borderId="1" xfId="0" applyFont="1" applyFill="1" applyBorder="1" applyAlignment="1">
      <alignment horizontal="center" vertical="top" wrapText="1"/>
    </xf>
    <xf numFmtId="0" fontId="4" fillId="2" borderId="1" xfId="0" applyFont="1" applyFill="1" applyBorder="1" applyAlignment="1">
      <alignment vertical="center" wrapText="1"/>
    </xf>
    <xf numFmtId="165" fontId="4" fillId="2" borderId="1" xfId="0" applyNumberFormat="1" applyFont="1" applyFill="1" applyBorder="1" applyAlignment="1">
      <alignment vertical="center" wrapText="1"/>
    </xf>
    <xf numFmtId="0" fontId="6"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4"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justify" vertical="center" wrapText="1"/>
      <protection locked="0"/>
    </xf>
    <xf numFmtId="0" fontId="4" fillId="2" borderId="1" xfId="0" applyFont="1" applyFill="1" applyBorder="1" applyAlignment="1">
      <alignment horizontal="justify" vertical="center" wrapText="1"/>
    </xf>
    <xf numFmtId="165" fontId="4" fillId="0" borderId="1" xfId="0" applyNumberFormat="1" applyFont="1" applyFill="1" applyBorder="1" applyAlignment="1">
      <alignment horizontal="center" vertical="center" wrapText="1"/>
    </xf>
    <xf numFmtId="164" fontId="1" fillId="0" borderId="0" xfId="0" applyNumberFormat="1" applyFont="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4" fillId="0" borderId="5"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13" xfId="0" applyFont="1" applyFill="1" applyBorder="1" applyAlignment="1">
      <alignment horizontal="justify" vertical="center" wrapText="1"/>
    </xf>
    <xf numFmtId="4" fontId="8" fillId="2" borderId="5" xfId="0" applyNumberFormat="1" applyFont="1" applyFill="1" applyBorder="1" applyAlignment="1">
      <alignment horizontal="center" vertical="center" wrapText="1"/>
    </xf>
    <xf numFmtId="4" fontId="8" fillId="2" borderId="12" xfId="0" applyNumberFormat="1" applyFont="1" applyFill="1" applyBorder="1" applyAlignment="1">
      <alignment horizontal="center" vertical="center" wrapText="1"/>
    </xf>
    <xf numFmtId="4" fontId="8" fillId="2" borderId="13" xfId="0" applyNumberFormat="1" applyFont="1" applyFill="1" applyBorder="1" applyAlignment="1">
      <alignment horizontal="center" vertical="center" wrapText="1"/>
    </xf>
    <xf numFmtId="4" fontId="4" fillId="2" borderId="5" xfId="0" applyNumberFormat="1" applyFont="1" applyFill="1" applyBorder="1" applyAlignment="1">
      <alignment horizontal="center" vertical="center" wrapText="1"/>
    </xf>
    <xf numFmtId="4" fontId="4" fillId="2" borderId="12" xfId="0" applyNumberFormat="1" applyFont="1" applyFill="1" applyBorder="1" applyAlignment="1">
      <alignment horizontal="center" vertical="center" wrapText="1"/>
    </xf>
    <xf numFmtId="4" fontId="4" fillId="2" borderId="13" xfId="0" applyNumberFormat="1" applyFont="1" applyFill="1" applyBorder="1" applyAlignment="1">
      <alignment horizontal="center" vertical="center" wrapText="1"/>
    </xf>
    <xf numFmtId="4" fontId="7" fillId="2" borderId="5" xfId="0" applyNumberFormat="1" applyFont="1" applyFill="1" applyBorder="1" applyAlignment="1">
      <alignment horizontal="center" vertical="center" wrapText="1"/>
    </xf>
    <xf numFmtId="4" fontId="7" fillId="2" borderId="12" xfId="0" applyNumberFormat="1" applyFont="1" applyFill="1" applyBorder="1" applyAlignment="1">
      <alignment horizontal="center" vertical="center" wrapText="1"/>
    </xf>
    <xf numFmtId="4" fontId="7" fillId="2" borderId="13"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4" fontId="4" fillId="0" borderId="12" xfId="0" applyNumberFormat="1" applyFont="1" applyFill="1" applyBorder="1" applyAlignment="1">
      <alignment horizontal="center" vertical="center" wrapText="1"/>
    </xf>
    <xf numFmtId="4" fontId="4" fillId="0" borderId="13" xfId="0" applyNumberFormat="1" applyFont="1" applyFill="1" applyBorder="1" applyAlignment="1">
      <alignment horizontal="center" vertical="center" wrapText="1"/>
    </xf>
    <xf numFmtId="0" fontId="4" fillId="0" borderId="5"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4" fontId="10" fillId="2" borderId="5" xfId="0" applyNumberFormat="1" applyFont="1" applyFill="1" applyBorder="1" applyAlignment="1">
      <alignment horizontal="center" vertical="center" wrapText="1"/>
    </xf>
    <xf numFmtId="4" fontId="10" fillId="2" borderId="12" xfId="0" applyNumberFormat="1" applyFont="1" applyFill="1" applyBorder="1" applyAlignment="1">
      <alignment horizontal="center" vertical="center" wrapText="1"/>
    </xf>
    <xf numFmtId="4" fontId="10" fillId="2" borderId="13" xfId="0" applyNumberFormat="1" applyFont="1" applyFill="1" applyBorder="1" applyAlignment="1">
      <alignment horizontal="center" vertical="center" wrapText="1"/>
    </xf>
    <xf numFmtId="4" fontId="9" fillId="2" borderId="5" xfId="0" applyNumberFormat="1" applyFont="1" applyFill="1" applyBorder="1" applyAlignment="1">
      <alignment horizontal="center" vertical="center" wrapText="1"/>
    </xf>
    <xf numFmtId="4" fontId="9" fillId="2" borderId="12" xfId="0" applyNumberFormat="1" applyFont="1" applyFill="1" applyBorder="1" applyAlignment="1">
      <alignment horizontal="center" vertical="center" wrapText="1"/>
    </xf>
    <xf numFmtId="4" fontId="9" fillId="2" borderId="13" xfId="0" applyNumberFormat="1" applyFont="1" applyFill="1" applyBorder="1" applyAlignment="1">
      <alignment horizontal="center" vertical="center" wrapText="1"/>
    </xf>
    <xf numFmtId="4" fontId="4" fillId="0" borderId="5"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13" xfId="0" applyNumberFormat="1" applyFont="1" applyBorder="1" applyAlignment="1">
      <alignment horizontal="center" vertical="center" wrapText="1"/>
    </xf>
    <xf numFmtId="0" fontId="4" fillId="2" borderId="5" xfId="0" applyFont="1" applyFill="1" applyBorder="1" applyAlignment="1">
      <alignment horizontal="justify" vertical="center" wrapText="1"/>
    </xf>
    <xf numFmtId="0" fontId="4" fillId="2" borderId="12" xfId="0" applyFont="1" applyFill="1" applyBorder="1" applyAlignment="1">
      <alignment horizontal="justify" vertical="center" wrapText="1"/>
    </xf>
    <xf numFmtId="0" fontId="4" fillId="2" borderId="13"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11" xfId="0" applyFont="1" applyBorder="1" applyAlignment="1">
      <alignment horizontal="center" vertical="top" wrapText="1"/>
    </xf>
    <xf numFmtId="0" fontId="1" fillId="0" borderId="9"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3" fillId="0" borderId="0" xfId="0" applyFont="1" applyAlignment="1">
      <alignment horizontal="center"/>
    </xf>
    <xf numFmtId="0" fontId="1" fillId="0" borderId="0" xfId="0" applyFont="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1"/>
  <sheetViews>
    <sheetView tabSelected="1" zoomScale="70" zoomScaleNormal="70" zoomScaleSheetLayoutView="55" workbookViewId="0">
      <pane ySplit="9" topLeftCell="A10" activePane="bottomLeft" state="frozen"/>
      <selection pane="bottomLeft" activeCell="D105" sqref="D105:S105"/>
    </sheetView>
  </sheetViews>
  <sheetFormatPr defaultColWidth="9.140625" defaultRowHeight="15" x14ac:dyDescent="0.25"/>
  <cols>
    <col min="1" max="1" width="14.140625" style="12" customWidth="1"/>
    <col min="2" max="2" width="25.28515625" style="1" customWidth="1"/>
    <col min="3" max="3" width="24.5703125" style="1" customWidth="1"/>
    <col min="4" max="4" width="16" style="1" customWidth="1"/>
    <col min="5" max="5" width="14.42578125" style="1" customWidth="1"/>
    <col min="6" max="6" width="12.5703125" style="1" customWidth="1"/>
    <col min="7" max="7" width="12.85546875" style="1" customWidth="1"/>
    <col min="8" max="8" width="11.5703125" style="1" customWidth="1"/>
    <col min="9" max="9" width="14.28515625" style="54" customWidth="1"/>
    <col min="10" max="10" width="14.28515625" style="1" customWidth="1"/>
    <col min="11" max="11" width="12.85546875" style="1" customWidth="1"/>
    <col min="12" max="12" width="11" style="1" customWidth="1"/>
    <col min="13" max="13" width="9.7109375" style="1" customWidth="1"/>
    <col min="14" max="14" width="9.5703125" style="1" customWidth="1"/>
    <col min="15" max="15" width="69.140625" style="1" customWidth="1"/>
    <col min="16" max="17" width="10.28515625" style="1" customWidth="1"/>
    <col min="18" max="18" width="37.140625" style="1" customWidth="1"/>
    <col min="19" max="19" width="15.28515625" style="1" hidden="1" customWidth="1"/>
    <col min="20" max="16384" width="9.140625" style="1"/>
  </cols>
  <sheetData>
    <row r="1" spans="1:19" s="4" customFormat="1" ht="15.75" x14ac:dyDescent="0.25">
      <c r="A1" s="119" t="s">
        <v>80</v>
      </c>
      <c r="B1" s="119"/>
      <c r="C1" s="119"/>
      <c r="D1" s="119"/>
      <c r="E1" s="119"/>
      <c r="F1" s="119"/>
      <c r="G1" s="119"/>
      <c r="H1" s="119"/>
      <c r="I1" s="119"/>
      <c r="J1" s="119"/>
      <c r="K1" s="119"/>
      <c r="L1" s="119"/>
      <c r="M1" s="119"/>
      <c r="N1" s="119"/>
      <c r="O1" s="119"/>
      <c r="P1" s="119"/>
      <c r="Q1" s="119"/>
      <c r="R1" s="119"/>
      <c r="S1" s="119"/>
    </row>
    <row r="2" spans="1:19" s="4" customFormat="1" ht="15.75" x14ac:dyDescent="0.25">
      <c r="A2" s="119" t="s">
        <v>79</v>
      </c>
      <c r="B2" s="119"/>
      <c r="C2" s="119"/>
      <c r="D2" s="119"/>
      <c r="E2" s="119"/>
      <c r="F2" s="119"/>
      <c r="G2" s="119"/>
      <c r="H2" s="119"/>
      <c r="I2" s="119"/>
      <c r="J2" s="119"/>
      <c r="K2" s="119"/>
      <c r="L2" s="119"/>
      <c r="M2" s="119"/>
      <c r="N2" s="119"/>
      <c r="O2" s="119"/>
      <c r="P2" s="119"/>
      <c r="Q2" s="119"/>
      <c r="R2" s="119"/>
      <c r="S2" s="119"/>
    </row>
    <row r="3" spans="1:19" ht="4.9000000000000004" customHeight="1" x14ac:dyDescent="0.25">
      <c r="A3" s="120" t="s">
        <v>335</v>
      </c>
      <c r="B3" s="120"/>
      <c r="C3" s="120"/>
      <c r="D3" s="120"/>
      <c r="E3" s="120"/>
      <c r="F3" s="120"/>
      <c r="G3" s="120"/>
      <c r="H3" s="120"/>
      <c r="I3" s="120"/>
      <c r="J3" s="120"/>
      <c r="K3" s="120"/>
      <c r="L3" s="120"/>
      <c r="M3" s="120"/>
      <c r="N3" s="120"/>
      <c r="O3" s="120"/>
      <c r="P3" s="120"/>
      <c r="Q3" s="120"/>
      <c r="R3" s="120"/>
      <c r="S3" s="120"/>
    </row>
    <row r="4" spans="1:19" x14ac:dyDescent="0.25">
      <c r="A4" s="120"/>
      <c r="B4" s="120"/>
      <c r="C4" s="120"/>
      <c r="D4" s="120"/>
      <c r="E4" s="120"/>
      <c r="F4" s="120"/>
      <c r="G4" s="120"/>
      <c r="H4" s="120"/>
      <c r="I4" s="120"/>
      <c r="J4" s="120"/>
      <c r="K4" s="120"/>
      <c r="L4" s="120"/>
      <c r="M4" s="120"/>
      <c r="N4" s="120"/>
      <c r="O4" s="120"/>
      <c r="P4" s="120"/>
      <c r="Q4" s="120"/>
      <c r="R4" s="120"/>
      <c r="S4" s="120"/>
    </row>
    <row r="5" spans="1:19" ht="13.9" x14ac:dyDescent="0.25">
      <c r="E5" s="2"/>
      <c r="F5" s="8"/>
    </row>
    <row r="6" spans="1:19" ht="34.15" customHeight="1" x14ac:dyDescent="0.25">
      <c r="A6" s="107" t="s">
        <v>81</v>
      </c>
      <c r="B6" s="105" t="s">
        <v>82</v>
      </c>
      <c r="C6" s="106" t="s">
        <v>0</v>
      </c>
      <c r="D6" s="105" t="s">
        <v>15</v>
      </c>
      <c r="E6" s="105"/>
      <c r="F6" s="105"/>
      <c r="G6" s="105"/>
      <c r="H6" s="105"/>
      <c r="I6" s="105"/>
      <c r="J6" s="105"/>
      <c r="K6" s="105"/>
      <c r="L6" s="105"/>
      <c r="M6" s="105"/>
      <c r="N6" s="105"/>
      <c r="O6" s="105" t="s">
        <v>57</v>
      </c>
      <c r="P6" s="105"/>
      <c r="Q6" s="105"/>
      <c r="R6" s="116" t="s">
        <v>58</v>
      </c>
      <c r="S6" s="116" t="s">
        <v>59</v>
      </c>
    </row>
    <row r="7" spans="1:19" ht="30" customHeight="1" x14ac:dyDescent="0.25">
      <c r="A7" s="108"/>
      <c r="B7" s="105"/>
      <c r="C7" s="106"/>
      <c r="D7" s="110" t="s">
        <v>1</v>
      </c>
      <c r="E7" s="111"/>
      <c r="F7" s="112"/>
      <c r="G7" s="105" t="s">
        <v>2</v>
      </c>
      <c r="H7" s="105"/>
      <c r="I7" s="105"/>
      <c r="J7" s="105"/>
      <c r="K7" s="105"/>
      <c r="L7" s="105"/>
      <c r="M7" s="105"/>
      <c r="N7" s="105"/>
      <c r="O7" s="105"/>
      <c r="P7" s="105"/>
      <c r="Q7" s="105"/>
      <c r="R7" s="117"/>
      <c r="S7" s="117"/>
    </row>
    <row r="8" spans="1:19" ht="57.6" customHeight="1" x14ac:dyDescent="0.25">
      <c r="A8" s="108"/>
      <c r="B8" s="105"/>
      <c r="C8" s="106"/>
      <c r="D8" s="113"/>
      <c r="E8" s="114"/>
      <c r="F8" s="115"/>
      <c r="G8" s="105" t="s">
        <v>3</v>
      </c>
      <c r="H8" s="105"/>
      <c r="I8" s="105" t="s">
        <v>4</v>
      </c>
      <c r="J8" s="105"/>
      <c r="K8" s="105" t="s">
        <v>5</v>
      </c>
      <c r="L8" s="105"/>
      <c r="M8" s="105" t="s">
        <v>6</v>
      </c>
      <c r="N8" s="105"/>
      <c r="O8" s="105"/>
      <c r="P8" s="105"/>
      <c r="Q8" s="105"/>
      <c r="R8" s="117"/>
      <c r="S8" s="117"/>
    </row>
    <row r="9" spans="1:19" ht="93" customHeight="1" x14ac:dyDescent="0.25">
      <c r="A9" s="109"/>
      <c r="B9" s="105"/>
      <c r="C9" s="106"/>
      <c r="D9" s="3" t="s">
        <v>7</v>
      </c>
      <c r="E9" s="3" t="s">
        <v>8</v>
      </c>
      <c r="F9" s="9" t="s">
        <v>56</v>
      </c>
      <c r="G9" s="3" t="s">
        <v>7</v>
      </c>
      <c r="H9" s="3" t="s">
        <v>8</v>
      </c>
      <c r="I9" s="55" t="s">
        <v>7</v>
      </c>
      <c r="J9" s="3" t="s">
        <v>8</v>
      </c>
      <c r="K9" s="3" t="s">
        <v>7</v>
      </c>
      <c r="L9" s="3" t="s">
        <v>8</v>
      </c>
      <c r="M9" s="3" t="s">
        <v>7</v>
      </c>
      <c r="N9" s="3" t="s">
        <v>8</v>
      </c>
      <c r="O9" s="3" t="s">
        <v>9</v>
      </c>
      <c r="P9" s="6" t="s">
        <v>10</v>
      </c>
      <c r="Q9" s="3" t="s">
        <v>11</v>
      </c>
      <c r="R9" s="118"/>
      <c r="S9" s="118"/>
    </row>
    <row r="10" spans="1:19" ht="13.9" x14ac:dyDescent="0.25">
      <c r="A10" s="10">
        <v>1</v>
      </c>
      <c r="B10" s="13">
        <v>2</v>
      </c>
      <c r="C10" s="3">
        <v>3</v>
      </c>
      <c r="D10" s="3">
        <v>4</v>
      </c>
      <c r="E10" s="3">
        <v>5</v>
      </c>
      <c r="F10" s="9"/>
      <c r="G10" s="3">
        <v>6</v>
      </c>
      <c r="H10" s="3">
        <v>7</v>
      </c>
      <c r="I10" s="55">
        <v>8</v>
      </c>
      <c r="J10" s="3">
        <v>9</v>
      </c>
      <c r="K10" s="3">
        <v>10</v>
      </c>
      <c r="L10" s="3">
        <v>11</v>
      </c>
      <c r="M10" s="3">
        <v>12</v>
      </c>
      <c r="N10" s="3">
        <v>13</v>
      </c>
      <c r="O10" s="3">
        <v>15</v>
      </c>
      <c r="P10" s="3">
        <v>16</v>
      </c>
      <c r="Q10" s="3">
        <v>17</v>
      </c>
      <c r="R10" s="3">
        <v>18</v>
      </c>
      <c r="S10" s="9">
        <v>19</v>
      </c>
    </row>
    <row r="11" spans="1:19" s="5" customFormat="1" ht="51" x14ac:dyDescent="0.25">
      <c r="A11" s="14">
        <v>1</v>
      </c>
      <c r="B11" s="15" t="s">
        <v>14</v>
      </c>
      <c r="C11" s="16"/>
      <c r="D11" s="17"/>
      <c r="E11" s="17"/>
      <c r="F11" s="17"/>
      <c r="G11" s="17"/>
      <c r="H11" s="17"/>
      <c r="I11" s="56"/>
      <c r="J11" s="17"/>
      <c r="K11" s="17"/>
      <c r="L11" s="17"/>
      <c r="M11" s="17"/>
      <c r="N11" s="17"/>
      <c r="O11" s="17"/>
      <c r="P11" s="17"/>
      <c r="Q11" s="17"/>
      <c r="R11" s="17"/>
      <c r="S11" s="17"/>
    </row>
    <row r="12" spans="1:19" s="5" customFormat="1" ht="40.5" customHeight="1" x14ac:dyDescent="0.25">
      <c r="A12" s="14" t="s">
        <v>17</v>
      </c>
      <c r="B12" s="15" t="s">
        <v>12</v>
      </c>
      <c r="C12" s="18"/>
      <c r="D12" s="44">
        <f>D14+D16+D18+D20+D22</f>
        <v>4101419.4000000004</v>
      </c>
      <c r="E12" s="44">
        <f>E14+E16+E18+E20+E22</f>
        <v>2050872.2</v>
      </c>
      <c r="F12" s="19">
        <f>E12/D12*100</f>
        <v>50.003962042994189</v>
      </c>
      <c r="G12" s="19">
        <f>G14+G16+G18+G20+G22</f>
        <v>0</v>
      </c>
      <c r="H12" s="19">
        <f t="shared" ref="H12:N12" si="0">H14+H16+H18+H20+H22</f>
        <v>0</v>
      </c>
      <c r="I12" s="53">
        <f t="shared" si="0"/>
        <v>4101419.4000000004</v>
      </c>
      <c r="J12" s="44">
        <f>J14+J16+J18+J20+J22</f>
        <v>2050872.2</v>
      </c>
      <c r="K12" s="19">
        <f t="shared" si="0"/>
        <v>0</v>
      </c>
      <c r="L12" s="19">
        <f t="shared" si="0"/>
        <v>0</v>
      </c>
      <c r="M12" s="19">
        <f t="shared" si="0"/>
        <v>0</v>
      </c>
      <c r="N12" s="19">
        <f t="shared" si="0"/>
        <v>0</v>
      </c>
      <c r="O12" s="17"/>
      <c r="P12" s="17"/>
      <c r="Q12" s="17"/>
      <c r="R12" s="17"/>
      <c r="S12" s="17"/>
    </row>
    <row r="13" spans="1:19" s="5" customFormat="1" x14ac:dyDescent="0.25">
      <c r="A13" s="14"/>
      <c r="B13" s="16" t="s">
        <v>16</v>
      </c>
      <c r="C13" s="17"/>
      <c r="D13" s="20"/>
      <c r="E13" s="21"/>
      <c r="F13" s="21"/>
      <c r="G13" s="21"/>
      <c r="H13" s="21"/>
      <c r="I13" s="57"/>
      <c r="J13" s="21"/>
      <c r="K13" s="21"/>
      <c r="L13" s="21"/>
      <c r="M13" s="21"/>
      <c r="N13" s="21"/>
      <c r="O13" s="17"/>
      <c r="P13" s="17"/>
      <c r="Q13" s="17"/>
      <c r="R13" s="17"/>
      <c r="S13" s="17"/>
    </row>
    <row r="14" spans="1:19" s="5" customFormat="1" ht="145.5" customHeight="1" x14ac:dyDescent="0.25">
      <c r="A14" s="22" t="s">
        <v>18</v>
      </c>
      <c r="B14" s="16" t="s">
        <v>147</v>
      </c>
      <c r="C14" s="23" t="s">
        <v>13</v>
      </c>
      <c r="D14" s="26">
        <f t="shared" ref="D14:E16" si="1">G14+I14+K14+M14</f>
        <v>77808.399999999994</v>
      </c>
      <c r="E14" s="26">
        <f t="shared" si="1"/>
        <v>27189.4</v>
      </c>
      <c r="F14" s="24">
        <f t="shared" ref="F14" si="2">E14/D14*100</f>
        <v>34.944042031451623</v>
      </c>
      <c r="G14" s="24">
        <v>0</v>
      </c>
      <c r="H14" s="24">
        <v>0</v>
      </c>
      <c r="I14" s="42">
        <v>77808.399999999994</v>
      </c>
      <c r="J14" s="26">
        <v>27189.4</v>
      </c>
      <c r="K14" s="24">
        <v>0</v>
      </c>
      <c r="L14" s="24">
        <v>0</v>
      </c>
      <c r="M14" s="24">
        <v>0</v>
      </c>
      <c r="N14" s="24">
        <v>0</v>
      </c>
      <c r="O14" s="65" t="s">
        <v>224</v>
      </c>
      <c r="P14" s="65" t="s">
        <v>125</v>
      </c>
      <c r="Q14" s="67" t="s">
        <v>55</v>
      </c>
      <c r="R14" s="25" t="s">
        <v>345</v>
      </c>
      <c r="S14" s="23"/>
    </row>
    <row r="15" spans="1:19" s="5" customFormat="1" ht="63.75" customHeight="1" x14ac:dyDescent="0.25">
      <c r="A15" s="87" t="s">
        <v>60</v>
      </c>
      <c r="B15" s="88"/>
      <c r="C15" s="89"/>
      <c r="D15" s="78"/>
      <c r="E15" s="79"/>
      <c r="F15" s="79"/>
      <c r="G15" s="79"/>
      <c r="H15" s="79"/>
      <c r="I15" s="79"/>
      <c r="J15" s="79"/>
      <c r="K15" s="79"/>
      <c r="L15" s="79"/>
      <c r="M15" s="79"/>
      <c r="N15" s="79"/>
      <c r="O15" s="79"/>
      <c r="P15" s="79"/>
      <c r="Q15" s="79"/>
      <c r="R15" s="79"/>
      <c r="S15" s="80"/>
    </row>
    <row r="16" spans="1:19" s="5" customFormat="1" ht="123" customHeight="1" x14ac:dyDescent="0.25">
      <c r="A16" s="22" t="s">
        <v>19</v>
      </c>
      <c r="B16" s="16" t="s">
        <v>83</v>
      </c>
      <c r="C16" s="23" t="s">
        <v>13</v>
      </c>
      <c r="D16" s="26">
        <f t="shared" si="1"/>
        <v>5783.7</v>
      </c>
      <c r="E16" s="26">
        <f t="shared" si="1"/>
        <v>2783.1</v>
      </c>
      <c r="F16" s="26">
        <f t="shared" ref="F16" si="3">E16/D16*100</f>
        <v>48.119715752891743</v>
      </c>
      <c r="G16" s="24">
        <v>0</v>
      </c>
      <c r="H16" s="24">
        <v>0</v>
      </c>
      <c r="I16" s="42">
        <v>5783.7</v>
      </c>
      <c r="J16" s="26">
        <v>2783.1</v>
      </c>
      <c r="K16" s="24">
        <v>0</v>
      </c>
      <c r="L16" s="24">
        <v>0</v>
      </c>
      <c r="M16" s="24">
        <v>0</v>
      </c>
      <c r="N16" s="24">
        <v>0</v>
      </c>
      <c r="O16" s="65" t="s">
        <v>268</v>
      </c>
      <c r="P16" s="71">
        <v>30</v>
      </c>
      <c r="Q16" s="70">
        <v>30</v>
      </c>
      <c r="R16" s="23"/>
      <c r="S16" s="23"/>
    </row>
    <row r="17" spans="1:19" s="5" customFormat="1" ht="58.5" customHeight="1" x14ac:dyDescent="0.25">
      <c r="A17" s="87" t="s">
        <v>60</v>
      </c>
      <c r="B17" s="88"/>
      <c r="C17" s="89"/>
      <c r="D17" s="78"/>
      <c r="E17" s="79"/>
      <c r="F17" s="79"/>
      <c r="G17" s="79"/>
      <c r="H17" s="79"/>
      <c r="I17" s="79"/>
      <c r="J17" s="79"/>
      <c r="K17" s="79"/>
      <c r="L17" s="79"/>
      <c r="M17" s="79"/>
      <c r="N17" s="79"/>
      <c r="O17" s="79"/>
      <c r="P17" s="79"/>
      <c r="Q17" s="79"/>
      <c r="R17" s="79"/>
      <c r="S17" s="80"/>
    </row>
    <row r="18" spans="1:19" s="5" customFormat="1" ht="150" customHeight="1" x14ac:dyDescent="0.25">
      <c r="A18" s="22" t="s">
        <v>20</v>
      </c>
      <c r="B18" s="16" t="s">
        <v>148</v>
      </c>
      <c r="C18" s="23" t="s">
        <v>13</v>
      </c>
      <c r="D18" s="42">
        <f t="shared" ref="D18:E132" si="4">G18+I18+K18+M18</f>
        <v>4016849.8000000003</v>
      </c>
      <c r="E18" s="42">
        <f t="shared" si="4"/>
        <v>2020348.5</v>
      </c>
      <c r="F18" s="42">
        <f t="shared" ref="F18" si="5">E18/D18*100</f>
        <v>50.296839578119148</v>
      </c>
      <c r="G18" s="52">
        <v>0</v>
      </c>
      <c r="H18" s="52">
        <v>0</v>
      </c>
      <c r="I18" s="42">
        <f>4006606.1+10243.7</f>
        <v>4016849.8000000003</v>
      </c>
      <c r="J18" s="42">
        <f>2015777.7+4570.8</f>
        <v>2020348.5</v>
      </c>
      <c r="K18" s="52">
        <v>0</v>
      </c>
      <c r="L18" s="52">
        <v>0</v>
      </c>
      <c r="M18" s="52">
        <v>0</v>
      </c>
      <c r="N18" s="52">
        <v>0</v>
      </c>
      <c r="O18" s="67" t="s">
        <v>269</v>
      </c>
      <c r="P18" s="70">
        <v>100</v>
      </c>
      <c r="Q18" s="70">
        <v>100</v>
      </c>
      <c r="R18" s="25" t="s">
        <v>332</v>
      </c>
      <c r="S18" s="25"/>
    </row>
    <row r="19" spans="1:19" s="5" customFormat="1" ht="65.25" customHeight="1" x14ac:dyDescent="0.25">
      <c r="A19" s="87" t="s">
        <v>60</v>
      </c>
      <c r="B19" s="88"/>
      <c r="C19" s="89"/>
      <c r="D19" s="78"/>
      <c r="E19" s="79"/>
      <c r="F19" s="79"/>
      <c r="G19" s="79"/>
      <c r="H19" s="79"/>
      <c r="I19" s="79"/>
      <c r="J19" s="79"/>
      <c r="K19" s="79"/>
      <c r="L19" s="79"/>
      <c r="M19" s="79"/>
      <c r="N19" s="79"/>
      <c r="O19" s="79"/>
      <c r="P19" s="79"/>
      <c r="Q19" s="79"/>
      <c r="R19" s="79"/>
      <c r="S19" s="80"/>
    </row>
    <row r="20" spans="1:19" s="5" customFormat="1" ht="174.75" customHeight="1" x14ac:dyDescent="0.25">
      <c r="A20" s="22" t="s">
        <v>21</v>
      </c>
      <c r="B20" s="16" t="s">
        <v>149</v>
      </c>
      <c r="C20" s="23" t="s">
        <v>13</v>
      </c>
      <c r="D20" s="42">
        <f t="shared" si="4"/>
        <v>642.5</v>
      </c>
      <c r="E20" s="42">
        <f t="shared" si="4"/>
        <v>216.2</v>
      </c>
      <c r="F20" s="42">
        <f t="shared" ref="F20" si="6">E20/D20*100</f>
        <v>33.649805447470818</v>
      </c>
      <c r="G20" s="52">
        <v>0</v>
      </c>
      <c r="H20" s="52">
        <v>0</v>
      </c>
      <c r="I20" s="42">
        <f>640.9+1.6</f>
        <v>642.5</v>
      </c>
      <c r="J20" s="42">
        <f>215.7+0.5</f>
        <v>216.2</v>
      </c>
      <c r="K20" s="52">
        <v>0</v>
      </c>
      <c r="L20" s="52">
        <v>0</v>
      </c>
      <c r="M20" s="52">
        <v>0</v>
      </c>
      <c r="N20" s="52">
        <v>0</v>
      </c>
      <c r="O20" s="67" t="s">
        <v>268</v>
      </c>
      <c r="P20" s="70">
        <v>30</v>
      </c>
      <c r="Q20" s="70">
        <v>30</v>
      </c>
      <c r="R20" s="25"/>
      <c r="S20" s="25"/>
    </row>
    <row r="21" spans="1:19" s="5" customFormat="1" ht="63" customHeight="1" x14ac:dyDescent="0.25">
      <c r="A21" s="87" t="s">
        <v>60</v>
      </c>
      <c r="B21" s="88"/>
      <c r="C21" s="89"/>
      <c r="D21" s="78"/>
      <c r="E21" s="79"/>
      <c r="F21" s="79"/>
      <c r="G21" s="79"/>
      <c r="H21" s="79"/>
      <c r="I21" s="79"/>
      <c r="J21" s="79"/>
      <c r="K21" s="79"/>
      <c r="L21" s="79"/>
      <c r="M21" s="79"/>
      <c r="N21" s="79"/>
      <c r="O21" s="79"/>
      <c r="P21" s="79"/>
      <c r="Q21" s="79"/>
      <c r="R21" s="79"/>
      <c r="S21" s="80"/>
    </row>
    <row r="22" spans="1:19" s="5" customFormat="1" ht="51" x14ac:dyDescent="0.25">
      <c r="A22" s="22" t="s">
        <v>22</v>
      </c>
      <c r="B22" s="16" t="s">
        <v>84</v>
      </c>
      <c r="C22" s="23" t="s">
        <v>30</v>
      </c>
      <c r="D22" s="26">
        <f t="shared" ref="D22:E22" si="7">G22+I22+K22+M22</f>
        <v>335</v>
      </c>
      <c r="E22" s="26">
        <f t="shared" si="7"/>
        <v>335</v>
      </c>
      <c r="F22" s="26">
        <f t="shared" ref="F22" si="8">E22/D22*100</f>
        <v>100</v>
      </c>
      <c r="G22" s="24">
        <v>0</v>
      </c>
      <c r="H22" s="24">
        <v>0</v>
      </c>
      <c r="I22" s="42">
        <v>335</v>
      </c>
      <c r="J22" s="24">
        <v>335</v>
      </c>
      <c r="K22" s="24">
        <v>0</v>
      </c>
      <c r="L22" s="24">
        <v>0</v>
      </c>
      <c r="M22" s="24">
        <v>0</v>
      </c>
      <c r="N22" s="24">
        <v>0</v>
      </c>
      <c r="O22" s="65" t="s">
        <v>270</v>
      </c>
      <c r="P22" s="70">
        <v>5</v>
      </c>
      <c r="Q22" s="70">
        <v>5</v>
      </c>
      <c r="R22" s="23"/>
      <c r="S22" s="23"/>
    </row>
    <row r="23" spans="1:19" s="5" customFormat="1" ht="63" customHeight="1" x14ac:dyDescent="0.25">
      <c r="A23" s="87" t="s">
        <v>60</v>
      </c>
      <c r="B23" s="88"/>
      <c r="C23" s="89"/>
      <c r="D23" s="96"/>
      <c r="E23" s="97"/>
      <c r="F23" s="97"/>
      <c r="G23" s="97"/>
      <c r="H23" s="97"/>
      <c r="I23" s="97"/>
      <c r="J23" s="97"/>
      <c r="K23" s="97"/>
      <c r="L23" s="97"/>
      <c r="M23" s="97"/>
      <c r="N23" s="97"/>
      <c r="O23" s="97"/>
      <c r="P23" s="97"/>
      <c r="Q23" s="97"/>
      <c r="R23" s="97"/>
      <c r="S23" s="98"/>
    </row>
    <row r="24" spans="1:19" s="5" customFormat="1" ht="144.75" customHeight="1" x14ac:dyDescent="0.25">
      <c r="A24" s="28" t="s">
        <v>23</v>
      </c>
      <c r="B24" s="29" t="s">
        <v>71</v>
      </c>
      <c r="C24" s="18"/>
      <c r="D24" s="53">
        <f>D26+D34+D36+D28+D30+D32+D38+D40+D44+D46+D48+D52+D54+D56+D60+D62+D64+D66</f>
        <v>8495651.9510869551</v>
      </c>
      <c r="E24" s="53">
        <f>E26+E34+E36+E28+E30+E32+E38+E40+E44+E46+E48+E52+E54+E56+E60+E62+E64+E66</f>
        <v>4661865.4927173918</v>
      </c>
      <c r="F24" s="30">
        <f>E24/D24*100</f>
        <v>54.873546133454077</v>
      </c>
      <c r="G24" s="53">
        <f>G26+G34+G36+G28+G30+G32+G38+G40+G44+G46+G48+G52+G54+G56+G60+G62+G64+G66</f>
        <v>1615328.8000000003</v>
      </c>
      <c r="H24" s="53">
        <f>H26+H34+H36+H28+H30+H32+H38+H40+H44+H46+H48+H52+H54+H56+H60+H62+H64+H66</f>
        <v>788723.53</v>
      </c>
      <c r="I24" s="53">
        <f>I26+I34+I36+I28+I30+I32+I38+I40+I44+I46+I48+I52+I54+I56+I60+I62+I64+I66+I58</f>
        <v>6856804.4999999991</v>
      </c>
      <c r="J24" s="53">
        <f>J26+J34+J36+J28+J30+J32+J38+J40+J44+J46+J48+J52+J54+J56+J60+J62+J64+J66+J58</f>
        <v>3861733.2100000009</v>
      </c>
      <c r="K24" s="53">
        <f>K26+K34+K36+K28+K30+K32+K38+K40+K44+K46+K48+K52+K54+K56+K60+K62+K64+K66</f>
        <v>27457.95108695652</v>
      </c>
      <c r="L24" s="53">
        <f>L26+L34+L36+L28+L30+L32+L38+L40+L44+L46+L48+L52+L54+L56+L60+L62+L64+L66</f>
        <v>13328.552717391305</v>
      </c>
      <c r="M24" s="53">
        <f>M26+M34+M36+M28+M30+M32+M38+M40+M44+M46+M48+M52+M54+M56+M60+M62+M64+M66</f>
        <v>0</v>
      </c>
      <c r="N24" s="53">
        <f>N26+N34+N36+N28+N30+N32+N38+N40+N44+N46+N48+N52+N54+N56+N60+N62+N64+N66</f>
        <v>0</v>
      </c>
      <c r="O24" s="17"/>
      <c r="P24" s="17"/>
      <c r="Q24" s="17"/>
      <c r="R24" s="17"/>
      <c r="S24" s="17"/>
    </row>
    <row r="25" spans="1:19" s="5" customFormat="1" x14ac:dyDescent="0.25">
      <c r="A25" s="28"/>
      <c r="B25" s="31" t="s">
        <v>38</v>
      </c>
      <c r="C25" s="17"/>
      <c r="D25" s="17"/>
      <c r="E25" s="17"/>
      <c r="F25" s="32"/>
      <c r="G25" s="17"/>
      <c r="H25" s="17"/>
      <c r="I25" s="56"/>
      <c r="J25" s="17"/>
      <c r="K25" s="17"/>
      <c r="L25" s="17"/>
      <c r="M25" s="17"/>
      <c r="N25" s="17"/>
      <c r="O25" s="17"/>
      <c r="P25" s="17"/>
      <c r="Q25" s="17"/>
      <c r="R25" s="17"/>
      <c r="S25" s="17"/>
    </row>
    <row r="26" spans="1:19" s="5" customFormat="1" ht="140.25" x14ac:dyDescent="0.25">
      <c r="A26" s="14" t="s">
        <v>24</v>
      </c>
      <c r="B26" s="16" t="s">
        <v>85</v>
      </c>
      <c r="C26" s="23" t="s">
        <v>25</v>
      </c>
      <c r="D26" s="26">
        <f t="shared" si="4"/>
        <v>14035.7</v>
      </c>
      <c r="E26" s="26">
        <f t="shared" si="4"/>
        <v>8162.9</v>
      </c>
      <c r="F26" s="26">
        <f t="shared" ref="F26" si="9">E26/D26*100</f>
        <v>58.158125351781521</v>
      </c>
      <c r="G26" s="24">
        <v>0</v>
      </c>
      <c r="H26" s="24">
        <v>0</v>
      </c>
      <c r="I26" s="42">
        <v>14035.7</v>
      </c>
      <c r="J26" s="42">
        <v>8162.9</v>
      </c>
      <c r="K26" s="24">
        <v>0</v>
      </c>
      <c r="L26" s="24">
        <v>0</v>
      </c>
      <c r="M26" s="24">
        <v>0</v>
      </c>
      <c r="N26" s="24">
        <v>0</v>
      </c>
      <c r="O26" s="65" t="s">
        <v>271</v>
      </c>
      <c r="P26" s="65">
        <v>1</v>
      </c>
      <c r="Q26" s="67">
        <v>1</v>
      </c>
      <c r="R26" s="33"/>
      <c r="S26" s="33"/>
    </row>
    <row r="27" spans="1:19" s="5" customFormat="1" ht="63" customHeight="1" x14ac:dyDescent="0.25">
      <c r="A27" s="87" t="s">
        <v>60</v>
      </c>
      <c r="B27" s="88"/>
      <c r="C27" s="89"/>
      <c r="D27" s="78"/>
      <c r="E27" s="79"/>
      <c r="F27" s="79"/>
      <c r="G27" s="79"/>
      <c r="H27" s="79"/>
      <c r="I27" s="79"/>
      <c r="J27" s="79"/>
      <c r="K27" s="79"/>
      <c r="L27" s="79"/>
      <c r="M27" s="79"/>
      <c r="N27" s="79"/>
      <c r="O27" s="79"/>
      <c r="P27" s="79"/>
      <c r="Q27" s="79"/>
      <c r="R27" s="79"/>
      <c r="S27" s="80"/>
    </row>
    <row r="28" spans="1:19" s="5" customFormat="1" ht="80.25" customHeight="1" x14ac:dyDescent="0.25">
      <c r="A28" s="14" t="s">
        <v>26</v>
      </c>
      <c r="B28" s="16" t="s">
        <v>86</v>
      </c>
      <c r="C28" s="23" t="s">
        <v>32</v>
      </c>
      <c r="D28" s="42">
        <f>G28+I28+K28+M28</f>
        <v>116412.2</v>
      </c>
      <c r="E28" s="42">
        <f>H28+J28+L28+N28</f>
        <v>59046.6</v>
      </c>
      <c r="F28" s="42">
        <f>E28/D28*100</f>
        <v>50.722003363908598</v>
      </c>
      <c r="G28" s="52">
        <v>0</v>
      </c>
      <c r="H28" s="52">
        <v>0</v>
      </c>
      <c r="I28" s="42">
        <v>116412.2</v>
      </c>
      <c r="J28" s="42">
        <v>59046.6</v>
      </c>
      <c r="K28" s="52">
        <v>0</v>
      </c>
      <c r="L28" s="52">
        <v>0</v>
      </c>
      <c r="M28" s="52">
        <v>0</v>
      </c>
      <c r="N28" s="52">
        <v>0</v>
      </c>
      <c r="O28" s="67" t="s">
        <v>271</v>
      </c>
      <c r="P28" s="67">
        <v>1</v>
      </c>
      <c r="Q28" s="67">
        <v>1</v>
      </c>
      <c r="R28" s="25"/>
      <c r="S28" s="25"/>
    </row>
    <row r="29" spans="1:19" s="5" customFormat="1" ht="58.5" customHeight="1" x14ac:dyDescent="0.25">
      <c r="A29" s="87" t="s">
        <v>60</v>
      </c>
      <c r="B29" s="88"/>
      <c r="C29" s="89"/>
      <c r="D29" s="78"/>
      <c r="E29" s="79"/>
      <c r="F29" s="79"/>
      <c r="G29" s="79"/>
      <c r="H29" s="79"/>
      <c r="I29" s="79"/>
      <c r="J29" s="79"/>
      <c r="K29" s="79"/>
      <c r="L29" s="79"/>
      <c r="M29" s="79"/>
      <c r="N29" s="79"/>
      <c r="O29" s="79"/>
      <c r="P29" s="79"/>
      <c r="Q29" s="79"/>
      <c r="R29" s="79"/>
      <c r="S29" s="80"/>
    </row>
    <row r="30" spans="1:19" s="5" customFormat="1" ht="127.5" x14ac:dyDescent="0.25">
      <c r="A30" s="14" t="s">
        <v>27</v>
      </c>
      <c r="B30" s="16" t="s">
        <v>87</v>
      </c>
      <c r="C30" s="23" t="s">
        <v>33</v>
      </c>
      <c r="D30" s="26">
        <f>G30+I30+K30+M30</f>
        <v>309535.3</v>
      </c>
      <c r="E30" s="26">
        <f>H30+J30+L30+N30</f>
        <v>174116.6</v>
      </c>
      <c r="F30" s="26">
        <f>E30/D30*100</f>
        <v>56.250967175633924</v>
      </c>
      <c r="G30" s="24">
        <v>0</v>
      </c>
      <c r="H30" s="24">
        <v>0</v>
      </c>
      <c r="I30" s="42">
        <v>309535.3</v>
      </c>
      <c r="J30" s="42">
        <v>174116.6</v>
      </c>
      <c r="K30" s="24">
        <v>0</v>
      </c>
      <c r="L30" s="24">
        <v>0</v>
      </c>
      <c r="M30" s="24">
        <v>0</v>
      </c>
      <c r="N30" s="24">
        <v>0</v>
      </c>
      <c r="O30" s="65" t="s">
        <v>271</v>
      </c>
      <c r="P30" s="65">
        <v>8</v>
      </c>
      <c r="Q30" s="66">
        <v>8</v>
      </c>
      <c r="R30" s="33"/>
      <c r="S30" s="33"/>
    </row>
    <row r="31" spans="1:19" s="5" customFormat="1" ht="57" customHeight="1" x14ac:dyDescent="0.25">
      <c r="A31" s="87" t="s">
        <v>60</v>
      </c>
      <c r="B31" s="88"/>
      <c r="C31" s="89"/>
      <c r="D31" s="93"/>
      <c r="E31" s="94"/>
      <c r="F31" s="94"/>
      <c r="G31" s="94"/>
      <c r="H31" s="94"/>
      <c r="I31" s="94"/>
      <c r="J31" s="94"/>
      <c r="K31" s="94"/>
      <c r="L31" s="94"/>
      <c r="M31" s="94"/>
      <c r="N31" s="94"/>
      <c r="O31" s="94"/>
      <c r="P31" s="94"/>
      <c r="Q31" s="94"/>
      <c r="R31" s="94"/>
      <c r="S31" s="95"/>
    </row>
    <row r="32" spans="1:19" s="5" customFormat="1" ht="96" customHeight="1" x14ac:dyDescent="0.25">
      <c r="A32" s="14" t="s">
        <v>72</v>
      </c>
      <c r="B32" s="16" t="s">
        <v>88</v>
      </c>
      <c r="C32" s="23" t="s">
        <v>34</v>
      </c>
      <c r="D32" s="26">
        <f>G32+I32+K32+M32</f>
        <v>34135.800000000003</v>
      </c>
      <c r="E32" s="26">
        <f>H32+J32+L32+N32</f>
        <v>17092.3</v>
      </c>
      <c r="F32" s="26">
        <f>E32/D32*100</f>
        <v>50.071479209510237</v>
      </c>
      <c r="G32" s="24">
        <v>0</v>
      </c>
      <c r="H32" s="24">
        <v>0</v>
      </c>
      <c r="I32" s="42">
        <v>34135.800000000003</v>
      </c>
      <c r="J32" s="42">
        <v>17092.3</v>
      </c>
      <c r="K32" s="24">
        <v>0</v>
      </c>
      <c r="L32" s="24">
        <v>0</v>
      </c>
      <c r="M32" s="24">
        <v>0</v>
      </c>
      <c r="N32" s="24">
        <v>0</v>
      </c>
      <c r="O32" s="65" t="s">
        <v>271</v>
      </c>
      <c r="P32" s="65">
        <v>1</v>
      </c>
      <c r="Q32" s="65">
        <v>1</v>
      </c>
      <c r="R32" s="33"/>
      <c r="S32" s="33"/>
    </row>
    <row r="33" spans="1:19" s="11" customFormat="1" ht="66.75" customHeight="1" x14ac:dyDescent="0.25">
      <c r="A33" s="72" t="s">
        <v>60</v>
      </c>
      <c r="B33" s="73"/>
      <c r="C33" s="74"/>
      <c r="D33" s="78"/>
      <c r="E33" s="79"/>
      <c r="F33" s="79"/>
      <c r="G33" s="79"/>
      <c r="H33" s="79"/>
      <c r="I33" s="79"/>
      <c r="J33" s="79"/>
      <c r="K33" s="79"/>
      <c r="L33" s="79"/>
      <c r="M33" s="79"/>
      <c r="N33" s="79"/>
      <c r="O33" s="79"/>
      <c r="P33" s="79"/>
      <c r="Q33" s="79"/>
      <c r="R33" s="79"/>
      <c r="S33" s="80"/>
    </row>
    <row r="34" spans="1:19" s="5" customFormat="1" ht="102" x14ac:dyDescent="0.25">
      <c r="A34" s="14" t="s">
        <v>29</v>
      </c>
      <c r="B34" s="16" t="s">
        <v>89</v>
      </c>
      <c r="C34" s="23" t="s">
        <v>13</v>
      </c>
      <c r="D34" s="26">
        <f t="shared" si="4"/>
        <v>6044471.0999999996</v>
      </c>
      <c r="E34" s="26">
        <f t="shared" si="4"/>
        <v>3474861.4000000004</v>
      </c>
      <c r="F34" s="52">
        <f t="shared" ref="F34:F172" si="10">E34/D34*100</f>
        <v>57.488262289813918</v>
      </c>
      <c r="G34" s="52">
        <v>0</v>
      </c>
      <c r="H34" s="52">
        <v>0</v>
      </c>
      <c r="I34" s="42">
        <f>5989022.3+55448.8</f>
        <v>6044471.0999999996</v>
      </c>
      <c r="J34" s="42">
        <f>3449341.7+25519.7</f>
        <v>3474861.4000000004</v>
      </c>
      <c r="K34" s="52">
        <v>0</v>
      </c>
      <c r="L34" s="52">
        <v>0</v>
      </c>
      <c r="M34" s="52">
        <v>0</v>
      </c>
      <c r="N34" s="52">
        <v>0</v>
      </c>
      <c r="O34" s="67" t="s">
        <v>272</v>
      </c>
      <c r="P34" s="67">
        <v>100</v>
      </c>
      <c r="Q34" s="67">
        <v>100</v>
      </c>
      <c r="R34" s="25" t="s">
        <v>331</v>
      </c>
      <c r="S34" s="25"/>
    </row>
    <row r="35" spans="1:19" s="5" customFormat="1" ht="63.75" customHeight="1" x14ac:dyDescent="0.25">
      <c r="A35" s="87" t="s">
        <v>60</v>
      </c>
      <c r="B35" s="88"/>
      <c r="C35" s="89"/>
      <c r="D35" s="78"/>
      <c r="E35" s="79"/>
      <c r="F35" s="79"/>
      <c r="G35" s="79"/>
      <c r="H35" s="79"/>
      <c r="I35" s="79"/>
      <c r="J35" s="79"/>
      <c r="K35" s="79"/>
      <c r="L35" s="79"/>
      <c r="M35" s="79"/>
      <c r="N35" s="79"/>
      <c r="O35" s="79"/>
      <c r="P35" s="79"/>
      <c r="Q35" s="79"/>
      <c r="R35" s="79"/>
      <c r="S35" s="80"/>
    </row>
    <row r="36" spans="1:19" s="5" customFormat="1" ht="114.75" x14ac:dyDescent="0.25">
      <c r="A36" s="14" t="s">
        <v>90</v>
      </c>
      <c r="B36" s="16" t="s">
        <v>91</v>
      </c>
      <c r="C36" s="23" t="s">
        <v>13</v>
      </c>
      <c r="D36" s="26">
        <f t="shared" si="4"/>
        <v>966.7</v>
      </c>
      <c r="E36" s="26">
        <f t="shared" si="4"/>
        <v>340.2</v>
      </c>
      <c r="F36" s="26">
        <f t="shared" si="10"/>
        <v>35.191889934829831</v>
      </c>
      <c r="G36" s="24">
        <v>0</v>
      </c>
      <c r="H36" s="24">
        <v>0</v>
      </c>
      <c r="I36" s="42">
        <v>966.7</v>
      </c>
      <c r="J36" s="26">
        <v>340.2</v>
      </c>
      <c r="K36" s="24">
        <v>0</v>
      </c>
      <c r="L36" s="24">
        <v>0</v>
      </c>
      <c r="M36" s="24">
        <v>0</v>
      </c>
      <c r="N36" s="24">
        <v>0</v>
      </c>
      <c r="O36" s="65" t="s">
        <v>268</v>
      </c>
      <c r="P36" s="65">
        <v>30</v>
      </c>
      <c r="Q36" s="66">
        <v>30</v>
      </c>
      <c r="R36" s="23"/>
      <c r="S36" s="23"/>
    </row>
    <row r="37" spans="1:19" s="5" customFormat="1" ht="58.5" customHeight="1" x14ac:dyDescent="0.25">
      <c r="A37" s="87" t="s">
        <v>60</v>
      </c>
      <c r="B37" s="88"/>
      <c r="C37" s="89"/>
      <c r="D37" s="78"/>
      <c r="E37" s="79"/>
      <c r="F37" s="79"/>
      <c r="G37" s="79"/>
      <c r="H37" s="79"/>
      <c r="I37" s="79"/>
      <c r="J37" s="79"/>
      <c r="K37" s="79"/>
      <c r="L37" s="79"/>
      <c r="M37" s="79"/>
      <c r="N37" s="79"/>
      <c r="O37" s="79"/>
      <c r="P37" s="79"/>
      <c r="Q37" s="79"/>
      <c r="R37" s="79"/>
      <c r="S37" s="80"/>
    </row>
    <row r="38" spans="1:19" s="5" customFormat="1" ht="153" x14ac:dyDescent="0.25">
      <c r="A38" s="14" t="s">
        <v>74</v>
      </c>
      <c r="B38" s="16" t="s">
        <v>92</v>
      </c>
      <c r="C38" s="23" t="s">
        <v>75</v>
      </c>
      <c r="D38" s="26">
        <f t="shared" ref="D38" si="11">G38+I38+K38+M38</f>
        <v>2260</v>
      </c>
      <c r="E38" s="26">
        <f>H38+J38+L38+N38</f>
        <v>2160.66</v>
      </c>
      <c r="F38" s="26">
        <f t="shared" ref="F38" si="12">E38/D38*100</f>
        <v>95.604424778761057</v>
      </c>
      <c r="G38" s="24">
        <v>0</v>
      </c>
      <c r="H38" s="24">
        <v>0</v>
      </c>
      <c r="I38" s="27">
        <v>2260</v>
      </c>
      <c r="J38" s="42">
        <f>1330.66+830</f>
        <v>2160.66</v>
      </c>
      <c r="K38" s="24">
        <v>0</v>
      </c>
      <c r="L38" s="24">
        <v>0</v>
      </c>
      <c r="M38" s="24">
        <v>0</v>
      </c>
      <c r="N38" s="24">
        <v>0</v>
      </c>
      <c r="O38" s="65" t="s">
        <v>273</v>
      </c>
      <c r="P38" s="67">
        <v>5</v>
      </c>
      <c r="Q38" s="67">
        <v>5</v>
      </c>
      <c r="R38" s="34"/>
      <c r="S38" s="34"/>
    </row>
    <row r="39" spans="1:19" s="5" customFormat="1" ht="66.75" customHeight="1" x14ac:dyDescent="0.25">
      <c r="A39" s="87" t="s">
        <v>60</v>
      </c>
      <c r="B39" s="88"/>
      <c r="C39" s="89"/>
      <c r="D39" s="96"/>
      <c r="E39" s="97"/>
      <c r="F39" s="97"/>
      <c r="G39" s="97"/>
      <c r="H39" s="97"/>
      <c r="I39" s="97"/>
      <c r="J39" s="97"/>
      <c r="K39" s="97"/>
      <c r="L39" s="97"/>
      <c r="M39" s="97"/>
      <c r="N39" s="97"/>
      <c r="O39" s="97"/>
      <c r="P39" s="97"/>
      <c r="Q39" s="97"/>
      <c r="R39" s="97"/>
      <c r="S39" s="98"/>
    </row>
    <row r="40" spans="1:19" s="5" customFormat="1" ht="318.75" x14ac:dyDescent="0.25">
      <c r="A40" s="14" t="s">
        <v>31</v>
      </c>
      <c r="B40" s="16" t="s">
        <v>184</v>
      </c>
      <c r="C40" s="23" t="s">
        <v>25</v>
      </c>
      <c r="D40" s="26">
        <f>G40+I40+K40+M40</f>
        <v>1577.2</v>
      </c>
      <c r="E40" s="26">
        <f>H40+J40+L40+N40</f>
        <v>174.4</v>
      </c>
      <c r="F40" s="26">
        <f>E40/D40*100</f>
        <v>11.05757037788486</v>
      </c>
      <c r="G40" s="24">
        <v>0</v>
      </c>
      <c r="H40" s="24">
        <v>0</v>
      </c>
      <c r="I40" s="42">
        <v>1577.2</v>
      </c>
      <c r="J40" s="42">
        <f>174.4</f>
        <v>174.4</v>
      </c>
      <c r="K40" s="24">
        <v>0</v>
      </c>
      <c r="L40" s="24">
        <v>0</v>
      </c>
      <c r="M40" s="24">
        <v>0</v>
      </c>
      <c r="N40" s="24">
        <v>0</v>
      </c>
      <c r="O40" s="65" t="s">
        <v>274</v>
      </c>
      <c r="P40" s="67">
        <v>21</v>
      </c>
      <c r="Q40" s="66">
        <v>21</v>
      </c>
      <c r="R40" s="34"/>
      <c r="S40" s="34"/>
    </row>
    <row r="41" spans="1:19" s="11" customFormat="1" ht="61.5" customHeight="1" x14ac:dyDescent="0.25">
      <c r="A41" s="72" t="s">
        <v>60</v>
      </c>
      <c r="B41" s="73"/>
      <c r="C41" s="74"/>
      <c r="D41" s="84"/>
      <c r="E41" s="85"/>
      <c r="F41" s="85"/>
      <c r="G41" s="85"/>
      <c r="H41" s="85"/>
      <c r="I41" s="85"/>
      <c r="J41" s="85"/>
      <c r="K41" s="85"/>
      <c r="L41" s="85"/>
      <c r="M41" s="85"/>
      <c r="N41" s="85"/>
      <c r="O41" s="85"/>
      <c r="P41" s="85"/>
      <c r="Q41" s="85"/>
      <c r="R41" s="85"/>
      <c r="S41" s="86"/>
    </row>
    <row r="42" spans="1:19" s="5" customFormat="1" ht="154.9" hidden="1" customHeight="1" x14ac:dyDescent="0.3">
      <c r="A42" s="14" t="s">
        <v>180</v>
      </c>
      <c r="B42" s="16" t="s">
        <v>181</v>
      </c>
      <c r="C42" s="23" t="s">
        <v>30</v>
      </c>
      <c r="D42" s="26">
        <f>G42+I42+K42+M42</f>
        <v>0</v>
      </c>
      <c r="E42" s="26">
        <f>H42+J42+L42+N42</f>
        <v>0</v>
      </c>
      <c r="F42" s="26" t="e">
        <f>E42/D42*100</f>
        <v>#DIV/0!</v>
      </c>
      <c r="G42" s="24">
        <v>0</v>
      </c>
      <c r="H42" s="24">
        <v>0</v>
      </c>
      <c r="I42" s="42">
        <v>0</v>
      </c>
      <c r="J42" s="24">
        <v>0</v>
      </c>
      <c r="K42" s="24">
        <v>0</v>
      </c>
      <c r="L42" s="24">
        <v>0</v>
      </c>
      <c r="M42" s="24">
        <v>0</v>
      </c>
      <c r="N42" s="24">
        <v>0</v>
      </c>
      <c r="O42" s="23" t="s">
        <v>182</v>
      </c>
      <c r="P42" s="25" t="s">
        <v>183</v>
      </c>
      <c r="Q42" s="25" t="s">
        <v>183</v>
      </c>
      <c r="R42" s="33"/>
      <c r="S42" s="33"/>
    </row>
    <row r="43" spans="1:19" s="5" customFormat="1" ht="57.75" hidden="1" customHeight="1" x14ac:dyDescent="0.3">
      <c r="A43" s="87" t="s">
        <v>60</v>
      </c>
      <c r="B43" s="88"/>
      <c r="C43" s="89"/>
      <c r="D43" s="78"/>
      <c r="E43" s="79"/>
      <c r="F43" s="79"/>
      <c r="G43" s="79"/>
      <c r="H43" s="79"/>
      <c r="I43" s="79"/>
      <c r="J43" s="79"/>
      <c r="K43" s="79"/>
      <c r="L43" s="79"/>
      <c r="M43" s="79"/>
      <c r="N43" s="79"/>
      <c r="O43" s="79"/>
      <c r="P43" s="79"/>
      <c r="Q43" s="79"/>
      <c r="R43" s="79"/>
      <c r="S43" s="80"/>
    </row>
    <row r="44" spans="1:19" s="5" customFormat="1" ht="271.89999999999998" customHeight="1" x14ac:dyDescent="0.25">
      <c r="A44" s="14" t="s">
        <v>73</v>
      </c>
      <c r="B44" s="16" t="s">
        <v>150</v>
      </c>
      <c r="C44" s="23" t="s">
        <v>126</v>
      </c>
      <c r="D44" s="26">
        <f>G44+I44+K44+M44</f>
        <v>600</v>
      </c>
      <c r="E44" s="26">
        <f>H44+J44+L44+N44</f>
        <v>235.7</v>
      </c>
      <c r="F44" s="26">
        <f>E44/D44*100</f>
        <v>39.283333333333331</v>
      </c>
      <c r="G44" s="24">
        <v>0</v>
      </c>
      <c r="H44" s="24">
        <v>0</v>
      </c>
      <c r="I44" s="42">
        <v>600</v>
      </c>
      <c r="J44" s="24">
        <v>235.7</v>
      </c>
      <c r="K44" s="24">
        <v>0</v>
      </c>
      <c r="L44" s="24">
        <v>0</v>
      </c>
      <c r="M44" s="24">
        <v>0</v>
      </c>
      <c r="N44" s="24">
        <v>0</v>
      </c>
      <c r="O44" s="65" t="s">
        <v>275</v>
      </c>
      <c r="P44" s="65">
        <v>100</v>
      </c>
      <c r="Q44" s="66">
        <v>100</v>
      </c>
      <c r="R44" s="25" t="s">
        <v>146</v>
      </c>
      <c r="S44" s="33"/>
    </row>
    <row r="45" spans="1:19" s="11" customFormat="1" ht="65.25" customHeight="1" x14ac:dyDescent="0.25">
      <c r="A45" s="72" t="s">
        <v>60</v>
      </c>
      <c r="B45" s="73"/>
      <c r="C45" s="74"/>
      <c r="D45" s="78"/>
      <c r="E45" s="79"/>
      <c r="F45" s="79"/>
      <c r="G45" s="79"/>
      <c r="H45" s="79"/>
      <c r="I45" s="79"/>
      <c r="J45" s="79"/>
      <c r="K45" s="79"/>
      <c r="L45" s="79"/>
      <c r="M45" s="79"/>
      <c r="N45" s="79"/>
      <c r="O45" s="79"/>
      <c r="P45" s="79"/>
      <c r="Q45" s="79"/>
      <c r="R45" s="79"/>
      <c r="S45" s="80"/>
    </row>
    <row r="46" spans="1:19" s="7" customFormat="1" ht="89.25" x14ac:dyDescent="0.25">
      <c r="A46" s="35" t="s">
        <v>127</v>
      </c>
      <c r="B46" s="36" t="s">
        <v>128</v>
      </c>
      <c r="C46" s="36" t="s">
        <v>13</v>
      </c>
      <c r="D46" s="37">
        <f>G46+I46+K46+M46</f>
        <v>4615.1000000000004</v>
      </c>
      <c r="E46" s="37">
        <f>H46+J46+L46+N46</f>
        <v>4256.3999999999996</v>
      </c>
      <c r="F46" s="26">
        <f>E46/D46*100</f>
        <v>92.227687374054725</v>
      </c>
      <c r="G46" s="24">
        <v>0</v>
      </c>
      <c r="H46" s="24">
        <v>0</v>
      </c>
      <c r="I46" s="41">
        <v>4615.1000000000004</v>
      </c>
      <c r="J46" s="41">
        <v>4256.3999999999996</v>
      </c>
      <c r="K46" s="24">
        <v>0</v>
      </c>
      <c r="L46" s="24">
        <v>0</v>
      </c>
      <c r="M46" s="24">
        <v>0</v>
      </c>
      <c r="N46" s="24">
        <v>0</v>
      </c>
      <c r="O46" s="69" t="s">
        <v>276</v>
      </c>
      <c r="P46" s="68">
        <v>200</v>
      </c>
      <c r="Q46" s="68">
        <v>200</v>
      </c>
      <c r="R46" s="39"/>
      <c r="S46" s="39"/>
    </row>
    <row r="47" spans="1:19" s="11" customFormat="1" ht="66.75" customHeight="1" x14ac:dyDescent="0.25">
      <c r="A47" s="102" t="s">
        <v>60</v>
      </c>
      <c r="B47" s="103"/>
      <c r="C47" s="104"/>
      <c r="D47" s="78"/>
      <c r="E47" s="79"/>
      <c r="F47" s="79"/>
      <c r="G47" s="79"/>
      <c r="H47" s="79"/>
      <c r="I47" s="79"/>
      <c r="J47" s="79"/>
      <c r="K47" s="79"/>
      <c r="L47" s="79"/>
      <c r="M47" s="79"/>
      <c r="N47" s="79"/>
      <c r="O47" s="79"/>
      <c r="P47" s="79"/>
      <c r="Q47" s="79"/>
      <c r="R47" s="79"/>
      <c r="S47" s="80"/>
    </row>
    <row r="48" spans="1:19" s="7" customFormat="1" ht="76.5" x14ac:dyDescent="0.25">
      <c r="A48" s="35" t="s">
        <v>35</v>
      </c>
      <c r="B48" s="40" t="s">
        <v>159</v>
      </c>
      <c r="C48" s="36" t="s">
        <v>30</v>
      </c>
      <c r="D48" s="41">
        <f>G48+I48+K48+M48</f>
        <v>8452.5</v>
      </c>
      <c r="E48" s="41">
        <f>H48+J48+L48+N48</f>
        <v>0</v>
      </c>
      <c r="F48" s="42">
        <f>E48/D48*100</f>
        <v>0</v>
      </c>
      <c r="G48" s="24">
        <v>0</v>
      </c>
      <c r="H48" s="24">
        <v>0</v>
      </c>
      <c r="I48" s="26">
        <v>8452.5</v>
      </c>
      <c r="J48" s="24">
        <v>0</v>
      </c>
      <c r="K48" s="24">
        <v>0</v>
      </c>
      <c r="L48" s="24">
        <v>0</v>
      </c>
      <c r="M48" s="24">
        <v>0</v>
      </c>
      <c r="N48" s="24">
        <v>0</v>
      </c>
      <c r="O48" s="68" t="s">
        <v>277</v>
      </c>
      <c r="P48" s="68" t="s">
        <v>158</v>
      </c>
      <c r="Q48" s="68" t="s">
        <v>158</v>
      </c>
      <c r="R48" s="38"/>
      <c r="S48" s="38"/>
    </row>
    <row r="49" spans="1:19" s="11" customFormat="1" ht="66.75" customHeight="1" x14ac:dyDescent="0.25">
      <c r="A49" s="102" t="s">
        <v>60</v>
      </c>
      <c r="B49" s="103"/>
      <c r="C49" s="104"/>
      <c r="D49" s="78"/>
      <c r="E49" s="79"/>
      <c r="F49" s="79"/>
      <c r="G49" s="79"/>
      <c r="H49" s="79"/>
      <c r="I49" s="79"/>
      <c r="J49" s="79"/>
      <c r="K49" s="79"/>
      <c r="L49" s="79"/>
      <c r="M49" s="79"/>
      <c r="N49" s="79"/>
      <c r="O49" s="79"/>
      <c r="P49" s="79"/>
      <c r="Q49" s="79"/>
      <c r="R49" s="79"/>
      <c r="S49" s="80"/>
    </row>
    <row r="50" spans="1:19" s="7" customFormat="1" ht="114.75" x14ac:dyDescent="0.25">
      <c r="A50" s="60" t="s">
        <v>278</v>
      </c>
      <c r="B50" s="61" t="s">
        <v>279</v>
      </c>
      <c r="C50" s="38" t="s">
        <v>30</v>
      </c>
      <c r="D50" s="41">
        <f>G50+I50+K50+M50</f>
        <v>0</v>
      </c>
      <c r="E50" s="41">
        <f>H50+J50+L50+N50</f>
        <v>0</v>
      </c>
      <c r="F50" s="42" t="e">
        <f>E50/D50*100</f>
        <v>#DIV/0!</v>
      </c>
      <c r="G50" s="52">
        <v>0</v>
      </c>
      <c r="H50" s="52">
        <v>0</v>
      </c>
      <c r="I50" s="42">
        <v>0</v>
      </c>
      <c r="J50" s="52">
        <v>0</v>
      </c>
      <c r="K50" s="52">
        <v>0</v>
      </c>
      <c r="L50" s="52">
        <v>0</v>
      </c>
      <c r="M50" s="52">
        <v>0</v>
      </c>
      <c r="N50" s="52">
        <v>0</v>
      </c>
      <c r="O50" s="68" t="s">
        <v>280</v>
      </c>
      <c r="P50" s="68" t="s">
        <v>158</v>
      </c>
      <c r="Q50" s="68" t="s">
        <v>158</v>
      </c>
      <c r="R50" s="38"/>
      <c r="S50" s="38"/>
    </row>
    <row r="51" spans="1:19" s="11" customFormat="1" ht="57" customHeight="1" x14ac:dyDescent="0.25">
      <c r="A51" s="99" t="s">
        <v>60</v>
      </c>
      <c r="B51" s="100"/>
      <c r="C51" s="101"/>
      <c r="D51" s="81" t="s">
        <v>327</v>
      </c>
      <c r="E51" s="82"/>
      <c r="F51" s="82"/>
      <c r="G51" s="82"/>
      <c r="H51" s="82"/>
      <c r="I51" s="82"/>
      <c r="J51" s="82"/>
      <c r="K51" s="82"/>
      <c r="L51" s="82"/>
      <c r="M51" s="82"/>
      <c r="N51" s="82"/>
      <c r="O51" s="82"/>
      <c r="P51" s="82"/>
      <c r="Q51" s="82"/>
      <c r="R51" s="82"/>
      <c r="S51" s="83"/>
    </row>
    <row r="52" spans="1:19" s="5" customFormat="1" ht="293.25" x14ac:dyDescent="0.25">
      <c r="A52" s="14" t="s">
        <v>189</v>
      </c>
      <c r="B52" s="16" t="s">
        <v>170</v>
      </c>
      <c r="C52" s="23" t="s">
        <v>185</v>
      </c>
      <c r="D52" s="26">
        <f t="shared" ref="D52" si="13">G52+I52+K52+M52</f>
        <v>526902.30000000005</v>
      </c>
      <c r="E52" s="26">
        <f>H52+J52+L52+N52</f>
        <v>320117.42</v>
      </c>
      <c r="F52" s="26">
        <f t="shared" ref="F52:F54" si="14">E52/D52*100</f>
        <v>60.754606688944037</v>
      </c>
      <c r="G52" s="26">
        <v>526902.30000000005</v>
      </c>
      <c r="H52" s="26">
        <f>3301.49+977.48+314093.96+1744.49</f>
        <v>320117.42</v>
      </c>
      <c r="I52" s="42">
        <v>0</v>
      </c>
      <c r="J52" s="24">
        <v>0</v>
      </c>
      <c r="K52" s="24">
        <v>0</v>
      </c>
      <c r="L52" s="24">
        <v>0</v>
      </c>
      <c r="M52" s="24">
        <v>0</v>
      </c>
      <c r="N52" s="24">
        <v>0</v>
      </c>
      <c r="O52" s="67" t="s">
        <v>334</v>
      </c>
      <c r="P52" s="65">
        <v>100</v>
      </c>
      <c r="Q52" s="66">
        <v>100</v>
      </c>
      <c r="R52" s="33"/>
      <c r="S52" s="33"/>
    </row>
    <row r="53" spans="1:19" s="5" customFormat="1" ht="61.5" customHeight="1" x14ac:dyDescent="0.25">
      <c r="A53" s="87" t="s">
        <v>60</v>
      </c>
      <c r="B53" s="88"/>
      <c r="C53" s="89"/>
      <c r="D53" s="78"/>
      <c r="E53" s="79"/>
      <c r="F53" s="79"/>
      <c r="G53" s="79"/>
      <c r="H53" s="79"/>
      <c r="I53" s="79"/>
      <c r="J53" s="79"/>
      <c r="K53" s="79"/>
      <c r="L53" s="79"/>
      <c r="M53" s="79"/>
      <c r="N53" s="79"/>
      <c r="O53" s="79"/>
      <c r="P53" s="79"/>
      <c r="Q53" s="79"/>
      <c r="R53" s="79"/>
      <c r="S53" s="80"/>
    </row>
    <row r="54" spans="1:19" s="5" customFormat="1" ht="213.6" customHeight="1" x14ac:dyDescent="0.25">
      <c r="A54" s="14" t="s">
        <v>190</v>
      </c>
      <c r="B54" s="16" t="s">
        <v>172</v>
      </c>
      <c r="C54" s="23" t="s">
        <v>171</v>
      </c>
      <c r="D54" s="26">
        <f t="shared" ref="D54" si="15">G54+I54+K54+M54</f>
        <v>743149.55108695652</v>
      </c>
      <c r="E54" s="26">
        <f>H54+J54+L54+N54</f>
        <v>358744.52271739126</v>
      </c>
      <c r="F54" s="26">
        <f t="shared" si="14"/>
        <v>48.27353016531854</v>
      </c>
      <c r="G54" s="26">
        <v>505226.3</v>
      </c>
      <c r="H54" s="26">
        <v>245245.37</v>
      </c>
      <c r="I54" s="42">
        <f>16474.8+193990.5</f>
        <v>210465.3</v>
      </c>
      <c r="J54" s="42">
        <f>92173.5+7997.1</f>
        <v>100170.6</v>
      </c>
      <c r="K54" s="42">
        <f>G54*5/92</f>
        <v>27457.95108695652</v>
      </c>
      <c r="L54" s="42">
        <f>H54*5/92</f>
        <v>13328.552717391305</v>
      </c>
      <c r="M54" s="24">
        <v>0</v>
      </c>
      <c r="N54" s="24">
        <v>0</v>
      </c>
      <c r="O54" s="65" t="s">
        <v>282</v>
      </c>
      <c r="P54" s="65">
        <v>100</v>
      </c>
      <c r="Q54" s="66">
        <v>100</v>
      </c>
      <c r="R54" s="33"/>
      <c r="S54" s="33"/>
    </row>
    <row r="55" spans="1:19" s="5" customFormat="1" ht="61.5" customHeight="1" x14ac:dyDescent="0.25">
      <c r="A55" s="87" t="s">
        <v>60</v>
      </c>
      <c r="B55" s="88"/>
      <c r="C55" s="89"/>
      <c r="D55" s="78"/>
      <c r="E55" s="79"/>
      <c r="F55" s="79"/>
      <c r="G55" s="79"/>
      <c r="H55" s="79"/>
      <c r="I55" s="79"/>
      <c r="J55" s="79"/>
      <c r="K55" s="79"/>
      <c r="L55" s="79"/>
      <c r="M55" s="79"/>
      <c r="N55" s="79"/>
      <c r="O55" s="79"/>
      <c r="P55" s="79"/>
      <c r="Q55" s="79"/>
      <c r="R55" s="79"/>
      <c r="S55" s="80"/>
    </row>
    <row r="56" spans="1:19" s="5" customFormat="1" ht="242.25" x14ac:dyDescent="0.25">
      <c r="A56" s="14" t="s">
        <v>226</v>
      </c>
      <c r="B56" s="16" t="s">
        <v>225</v>
      </c>
      <c r="C56" s="23" t="s">
        <v>152</v>
      </c>
      <c r="D56" s="26">
        <f t="shared" ref="D56" si="16">G56+I56+K56+M56</f>
        <v>15559</v>
      </c>
      <c r="E56" s="26">
        <f>H56+J56+L56+N56</f>
        <v>7317.7</v>
      </c>
      <c r="F56" s="26">
        <f t="shared" ref="F56" si="17">E56/D56*100</f>
        <v>47.031942926923321</v>
      </c>
      <c r="G56" s="26">
        <v>0</v>
      </c>
      <c r="H56" s="26">
        <v>0</v>
      </c>
      <c r="I56" s="42">
        <v>15559</v>
      </c>
      <c r="J56" s="26">
        <f>1.3+7316.4</f>
        <v>7317.7</v>
      </c>
      <c r="K56" s="24">
        <v>0</v>
      </c>
      <c r="L56" s="24">
        <v>0</v>
      </c>
      <c r="M56" s="24">
        <v>0</v>
      </c>
      <c r="N56" s="24">
        <v>0</v>
      </c>
      <c r="O56" s="65" t="s">
        <v>283</v>
      </c>
      <c r="P56" s="65">
        <v>100</v>
      </c>
      <c r="Q56" s="66">
        <v>100</v>
      </c>
      <c r="R56" s="33"/>
      <c r="S56" s="33"/>
    </row>
    <row r="57" spans="1:19" s="5" customFormat="1" ht="61.5" customHeight="1" x14ac:dyDescent="0.25">
      <c r="A57" s="87" t="s">
        <v>60</v>
      </c>
      <c r="B57" s="88"/>
      <c r="C57" s="89"/>
      <c r="D57" s="90"/>
      <c r="E57" s="91"/>
      <c r="F57" s="91"/>
      <c r="G57" s="91"/>
      <c r="H57" s="91"/>
      <c r="I57" s="91"/>
      <c r="J57" s="91"/>
      <c r="K57" s="91"/>
      <c r="L57" s="91"/>
      <c r="M57" s="91"/>
      <c r="N57" s="91"/>
      <c r="O57" s="91"/>
      <c r="P57" s="91"/>
      <c r="Q57" s="91"/>
      <c r="R57" s="91"/>
      <c r="S57" s="92"/>
    </row>
    <row r="58" spans="1:19" s="5" customFormat="1" ht="242.25" x14ac:dyDescent="0.25">
      <c r="A58" s="14" t="s">
        <v>227</v>
      </c>
      <c r="B58" s="16" t="s">
        <v>328</v>
      </c>
      <c r="C58" s="23" t="s">
        <v>152</v>
      </c>
      <c r="D58" s="26">
        <f t="shared" ref="D58" si="18">G58+I58+K58+M58</f>
        <v>3939.3</v>
      </c>
      <c r="E58" s="26">
        <f>H58+J58+L58+N58</f>
        <v>1919.8000000000002</v>
      </c>
      <c r="F58" s="26">
        <f t="shared" ref="F58" si="19">E58/D58*100</f>
        <v>48.734546746883964</v>
      </c>
      <c r="G58" s="26">
        <v>0</v>
      </c>
      <c r="H58" s="26">
        <v>0</v>
      </c>
      <c r="I58" s="42">
        <f>782.2+3157.1</f>
        <v>3939.3</v>
      </c>
      <c r="J58" s="26">
        <f>404.6+1515.2</f>
        <v>1919.8000000000002</v>
      </c>
      <c r="K58" s="24">
        <v>0</v>
      </c>
      <c r="L58" s="24">
        <v>0</v>
      </c>
      <c r="M58" s="24">
        <v>0</v>
      </c>
      <c r="N58" s="24">
        <v>0</v>
      </c>
      <c r="O58" s="65" t="s">
        <v>283</v>
      </c>
      <c r="P58" s="65">
        <v>100</v>
      </c>
      <c r="Q58" s="66">
        <v>100</v>
      </c>
      <c r="R58" s="33"/>
      <c r="S58" s="33"/>
    </row>
    <row r="59" spans="1:19" s="5" customFormat="1" ht="61.5" customHeight="1" x14ac:dyDescent="0.25">
      <c r="A59" s="87" t="s">
        <v>60</v>
      </c>
      <c r="B59" s="88"/>
      <c r="C59" s="89"/>
      <c r="D59" s="90"/>
      <c r="E59" s="91"/>
      <c r="F59" s="91"/>
      <c r="G59" s="91"/>
      <c r="H59" s="91"/>
      <c r="I59" s="91"/>
      <c r="J59" s="91"/>
      <c r="K59" s="91"/>
      <c r="L59" s="91"/>
      <c r="M59" s="91"/>
      <c r="N59" s="91"/>
      <c r="O59" s="91"/>
      <c r="P59" s="91"/>
      <c r="Q59" s="91"/>
      <c r="R59" s="91"/>
      <c r="S59" s="92"/>
    </row>
    <row r="60" spans="1:19" s="5" customFormat="1" ht="204" x14ac:dyDescent="0.25">
      <c r="A60" s="14" t="s">
        <v>228</v>
      </c>
      <c r="B60" s="16" t="s">
        <v>229</v>
      </c>
      <c r="C60" s="23" t="s">
        <v>230</v>
      </c>
      <c r="D60" s="26">
        <f t="shared" ref="D60" si="20">G60+I60+K60+M60</f>
        <v>112753.1</v>
      </c>
      <c r="E60" s="26">
        <f>H60+J60+L60+N60</f>
        <v>61595.350000000006</v>
      </c>
      <c r="F60" s="26">
        <f t="shared" ref="F60" si="21">E60/D60*100</f>
        <v>54.628520191462592</v>
      </c>
      <c r="G60" s="42">
        <v>101220.1</v>
      </c>
      <c r="H60" s="42">
        <v>55200.9</v>
      </c>
      <c r="I60" s="42">
        <v>11533</v>
      </c>
      <c r="J60" s="52">
        <f>1594.35+4800.1</f>
        <v>6394.4500000000007</v>
      </c>
      <c r="K60" s="24">
        <v>0</v>
      </c>
      <c r="L60" s="24">
        <v>0</v>
      </c>
      <c r="M60" s="24">
        <v>0</v>
      </c>
      <c r="N60" s="24">
        <v>0</v>
      </c>
      <c r="O60" s="65" t="s">
        <v>284</v>
      </c>
      <c r="P60" s="65" t="s">
        <v>158</v>
      </c>
      <c r="Q60" s="66" t="s">
        <v>158</v>
      </c>
      <c r="R60" s="33"/>
      <c r="S60" s="33"/>
    </row>
    <row r="61" spans="1:19" s="5" customFormat="1" ht="61.5" customHeight="1" x14ac:dyDescent="0.25">
      <c r="A61" s="87" t="s">
        <v>60</v>
      </c>
      <c r="B61" s="88"/>
      <c r="C61" s="89"/>
      <c r="D61" s="90"/>
      <c r="E61" s="91"/>
      <c r="F61" s="91"/>
      <c r="G61" s="91"/>
      <c r="H61" s="91"/>
      <c r="I61" s="91"/>
      <c r="J61" s="91"/>
      <c r="K61" s="91"/>
      <c r="L61" s="91"/>
      <c r="M61" s="91"/>
      <c r="N61" s="91"/>
      <c r="O61" s="91"/>
      <c r="P61" s="91"/>
      <c r="Q61" s="91"/>
      <c r="R61" s="91"/>
      <c r="S61" s="92"/>
    </row>
    <row r="62" spans="1:19" s="5" customFormat="1" ht="114.75" x14ac:dyDescent="0.25">
      <c r="A62" s="14" t="s">
        <v>231</v>
      </c>
      <c r="B62" s="16" t="s">
        <v>232</v>
      </c>
      <c r="C62" s="23" t="s">
        <v>233</v>
      </c>
      <c r="D62" s="26">
        <f t="shared" ref="D62" si="22">G62+I62+K62+M62</f>
        <v>497696.89999999997</v>
      </c>
      <c r="E62" s="26">
        <f>H62+J62+L62+N62</f>
        <v>173643.34</v>
      </c>
      <c r="F62" s="26">
        <f t="shared" ref="F62" si="23">E62/D62*100</f>
        <v>34.889375441157064</v>
      </c>
      <c r="G62" s="27">
        <v>481980.1</v>
      </c>
      <c r="H62" s="27">
        <v>168159.84</v>
      </c>
      <c r="I62" s="27">
        <v>15716.8</v>
      </c>
      <c r="J62" s="63">
        <v>5483.5</v>
      </c>
      <c r="K62" s="24">
        <v>0</v>
      </c>
      <c r="L62" s="24">
        <v>0</v>
      </c>
      <c r="M62" s="24">
        <v>0</v>
      </c>
      <c r="N62" s="24">
        <v>0</v>
      </c>
      <c r="O62" s="65" t="s">
        <v>284</v>
      </c>
      <c r="P62" s="65" t="s">
        <v>158</v>
      </c>
      <c r="Q62" s="66" t="s">
        <v>158</v>
      </c>
      <c r="R62" s="33"/>
      <c r="S62" s="33"/>
    </row>
    <row r="63" spans="1:19" s="5" customFormat="1" ht="61.5" customHeight="1" x14ac:dyDescent="0.25">
      <c r="A63" s="87" t="s">
        <v>60</v>
      </c>
      <c r="B63" s="88"/>
      <c r="C63" s="89"/>
      <c r="D63" s="90"/>
      <c r="E63" s="91"/>
      <c r="F63" s="91"/>
      <c r="G63" s="91"/>
      <c r="H63" s="91"/>
      <c r="I63" s="91"/>
      <c r="J63" s="91"/>
      <c r="K63" s="91"/>
      <c r="L63" s="91"/>
      <c r="M63" s="91"/>
      <c r="N63" s="91"/>
      <c r="O63" s="91"/>
      <c r="P63" s="91"/>
      <c r="Q63" s="91"/>
      <c r="R63" s="91"/>
      <c r="S63" s="92"/>
    </row>
    <row r="64" spans="1:19" s="5" customFormat="1" ht="165.75" x14ac:dyDescent="0.25">
      <c r="A64" s="14" t="s">
        <v>234</v>
      </c>
      <c r="B64" s="16" t="s">
        <v>235</v>
      </c>
      <c r="C64" s="23" t="s">
        <v>236</v>
      </c>
      <c r="D64" s="26">
        <f t="shared" ref="D64" si="24">G64+I64+K64+M64</f>
        <v>8529.5</v>
      </c>
      <c r="E64" s="26">
        <f>H64+J64+L64+N64</f>
        <v>0</v>
      </c>
      <c r="F64" s="26">
        <f t="shared" ref="F64" si="25">E64/D64*100</f>
        <v>0</v>
      </c>
      <c r="G64" s="26">
        <v>0</v>
      </c>
      <c r="H64" s="26">
        <v>0</v>
      </c>
      <c r="I64" s="42">
        <v>8529.5</v>
      </c>
      <c r="J64" s="24">
        <v>0</v>
      </c>
      <c r="K64" s="24">
        <v>0</v>
      </c>
      <c r="L64" s="24">
        <v>0</v>
      </c>
      <c r="M64" s="24">
        <v>0</v>
      </c>
      <c r="N64" s="24">
        <v>0</v>
      </c>
      <c r="O64" s="65" t="s">
        <v>285</v>
      </c>
      <c r="P64" s="65" t="s">
        <v>158</v>
      </c>
      <c r="Q64" s="66" t="s">
        <v>158</v>
      </c>
      <c r="R64" s="33"/>
      <c r="S64" s="33"/>
    </row>
    <row r="65" spans="1:19" s="5" customFormat="1" ht="61.5" customHeight="1" x14ac:dyDescent="0.25">
      <c r="A65" s="87" t="s">
        <v>60</v>
      </c>
      <c r="B65" s="88"/>
      <c r="C65" s="89"/>
      <c r="D65" s="90"/>
      <c r="E65" s="91"/>
      <c r="F65" s="91"/>
      <c r="G65" s="91"/>
      <c r="H65" s="91"/>
      <c r="I65" s="91"/>
      <c r="J65" s="91"/>
      <c r="K65" s="91"/>
      <c r="L65" s="91"/>
      <c r="M65" s="91"/>
      <c r="N65" s="91"/>
      <c r="O65" s="91"/>
      <c r="P65" s="91"/>
      <c r="Q65" s="91"/>
      <c r="R65" s="91"/>
      <c r="S65" s="92"/>
    </row>
    <row r="66" spans="1:19" s="5" customFormat="1" ht="102" x14ac:dyDescent="0.25">
      <c r="A66" s="14" t="s">
        <v>237</v>
      </c>
      <c r="B66" s="16" t="s">
        <v>238</v>
      </c>
      <c r="C66" s="23" t="s">
        <v>152</v>
      </c>
      <c r="D66" s="26">
        <f t="shared" ref="D66" si="26">G66+I66+K66+M66</f>
        <v>54000</v>
      </c>
      <c r="E66" s="26">
        <f>H66+J66+L66+N66</f>
        <v>0</v>
      </c>
      <c r="F66" s="26">
        <f t="shared" ref="F66" si="27">E66/D66*100</f>
        <v>0</v>
      </c>
      <c r="G66" s="26">
        <v>0</v>
      </c>
      <c r="H66" s="26">
        <v>0</v>
      </c>
      <c r="I66" s="42">
        <v>54000</v>
      </c>
      <c r="J66" s="24">
        <v>0</v>
      </c>
      <c r="K66" s="24">
        <v>0</v>
      </c>
      <c r="L66" s="24">
        <v>0</v>
      </c>
      <c r="M66" s="24">
        <v>0</v>
      </c>
      <c r="N66" s="24">
        <v>0</v>
      </c>
      <c r="O66" s="65" t="s">
        <v>286</v>
      </c>
      <c r="P66" s="65" t="s">
        <v>158</v>
      </c>
      <c r="Q66" s="66" t="s">
        <v>158</v>
      </c>
      <c r="R66" s="33"/>
      <c r="S66" s="33"/>
    </row>
    <row r="67" spans="1:19" s="5" customFormat="1" ht="61.5" customHeight="1" x14ac:dyDescent="0.25">
      <c r="A67" s="87" t="s">
        <v>60</v>
      </c>
      <c r="B67" s="88"/>
      <c r="C67" s="89"/>
      <c r="D67" s="90"/>
      <c r="E67" s="91"/>
      <c r="F67" s="91"/>
      <c r="G67" s="91"/>
      <c r="H67" s="91"/>
      <c r="I67" s="91"/>
      <c r="J67" s="91"/>
      <c r="K67" s="91"/>
      <c r="L67" s="91"/>
      <c r="M67" s="91"/>
      <c r="N67" s="91"/>
      <c r="O67" s="91"/>
      <c r="P67" s="91"/>
      <c r="Q67" s="91"/>
      <c r="R67" s="91"/>
      <c r="S67" s="92"/>
    </row>
    <row r="68" spans="1:19" s="5" customFormat="1" ht="56.25" customHeight="1" x14ac:dyDescent="0.25">
      <c r="A68" s="14" t="s">
        <v>37</v>
      </c>
      <c r="B68" s="15" t="s">
        <v>36</v>
      </c>
      <c r="C68" s="43"/>
      <c r="D68" s="53">
        <f>D72+D70+D76+D74</f>
        <v>242587.9</v>
      </c>
      <c r="E68" s="53">
        <f>E72+E70+E76+E74</f>
        <v>129629.49999999999</v>
      </c>
      <c r="F68" s="44">
        <f>E68/D68*100</f>
        <v>53.436094710412185</v>
      </c>
      <c r="G68" s="53">
        <f>G72+G70+G76+G74</f>
        <v>0</v>
      </c>
      <c r="H68" s="53">
        <f>H72+H70+H76+H74</f>
        <v>0</v>
      </c>
      <c r="I68" s="53">
        <f t="shared" ref="I68:N68" si="28">I72+I70+I76+I74</f>
        <v>242587.9</v>
      </c>
      <c r="J68" s="53">
        <f t="shared" si="28"/>
        <v>129629.49999999999</v>
      </c>
      <c r="K68" s="53">
        <f t="shared" si="28"/>
        <v>0</v>
      </c>
      <c r="L68" s="53">
        <f t="shared" si="28"/>
        <v>0</v>
      </c>
      <c r="M68" s="53">
        <f t="shared" si="28"/>
        <v>0</v>
      </c>
      <c r="N68" s="53">
        <f t="shared" si="28"/>
        <v>0</v>
      </c>
      <c r="O68" s="23"/>
      <c r="P68" s="23" t="s">
        <v>158</v>
      </c>
      <c r="Q68" s="23" t="s">
        <v>158</v>
      </c>
      <c r="R68" s="23"/>
      <c r="S68" s="23"/>
    </row>
    <row r="69" spans="1:19" s="5" customFormat="1" x14ac:dyDescent="0.25">
      <c r="A69" s="14"/>
      <c r="B69" s="16" t="s">
        <v>38</v>
      </c>
      <c r="C69" s="23"/>
      <c r="D69" s="26"/>
      <c r="E69" s="26"/>
      <c r="F69" s="26"/>
      <c r="G69" s="26"/>
      <c r="H69" s="26"/>
      <c r="I69" s="42"/>
      <c r="J69" s="26"/>
      <c r="K69" s="26"/>
      <c r="L69" s="26"/>
      <c r="M69" s="26"/>
      <c r="N69" s="26"/>
      <c r="O69" s="23"/>
      <c r="P69" s="23"/>
      <c r="Q69" s="23"/>
      <c r="R69" s="23"/>
      <c r="S69" s="23"/>
    </row>
    <row r="70" spans="1:19" s="5" customFormat="1" ht="140.25" x14ac:dyDescent="0.25">
      <c r="A70" s="14" t="s">
        <v>93</v>
      </c>
      <c r="B70" s="16" t="s">
        <v>94</v>
      </c>
      <c r="C70" s="23" t="s">
        <v>25</v>
      </c>
      <c r="D70" s="26">
        <f>G70+I70+K70+M70</f>
        <v>212258.9</v>
      </c>
      <c r="E70" s="26">
        <f>H70+J70+L70+N70</f>
        <v>118366.29999999999</v>
      </c>
      <c r="F70" s="26">
        <f>E70/D70*100</f>
        <v>55.765058614738884</v>
      </c>
      <c r="G70" s="24">
        <v>0</v>
      </c>
      <c r="H70" s="24">
        <v>0</v>
      </c>
      <c r="I70" s="42">
        <f>22675.4+189583.5</f>
        <v>212258.9</v>
      </c>
      <c r="J70" s="42">
        <f>11651.9+106714.4</f>
        <v>118366.29999999999</v>
      </c>
      <c r="K70" s="24">
        <v>0</v>
      </c>
      <c r="L70" s="24">
        <v>0</v>
      </c>
      <c r="M70" s="24">
        <v>0</v>
      </c>
      <c r="N70" s="24">
        <v>0</v>
      </c>
      <c r="O70" s="65" t="s">
        <v>287</v>
      </c>
      <c r="P70" s="65">
        <v>2</v>
      </c>
      <c r="Q70" s="65">
        <v>2</v>
      </c>
      <c r="R70" s="33"/>
      <c r="S70" s="33"/>
    </row>
    <row r="71" spans="1:19" s="11" customFormat="1" ht="66" customHeight="1" x14ac:dyDescent="0.25">
      <c r="A71" s="72" t="s">
        <v>60</v>
      </c>
      <c r="B71" s="73"/>
      <c r="C71" s="74"/>
      <c r="D71" s="78"/>
      <c r="E71" s="79"/>
      <c r="F71" s="79"/>
      <c r="G71" s="79"/>
      <c r="H71" s="79"/>
      <c r="I71" s="79"/>
      <c r="J71" s="79"/>
      <c r="K71" s="79"/>
      <c r="L71" s="79"/>
      <c r="M71" s="79"/>
      <c r="N71" s="79"/>
      <c r="O71" s="79"/>
      <c r="P71" s="79"/>
      <c r="Q71" s="79"/>
      <c r="R71" s="79"/>
      <c r="S71" s="80"/>
    </row>
    <row r="72" spans="1:19" s="5" customFormat="1" ht="185.25" hidden="1" customHeight="1" x14ac:dyDescent="0.3">
      <c r="A72" s="14" t="s">
        <v>76</v>
      </c>
      <c r="B72" s="16" t="s">
        <v>95</v>
      </c>
      <c r="C72" s="23" t="s">
        <v>153</v>
      </c>
      <c r="D72" s="42">
        <f t="shared" si="4"/>
        <v>0</v>
      </c>
      <c r="E72" s="42">
        <f t="shared" si="4"/>
        <v>0</v>
      </c>
      <c r="F72" s="42" t="e">
        <f t="shared" si="10"/>
        <v>#DIV/0!</v>
      </c>
      <c r="G72" s="52">
        <v>0</v>
      </c>
      <c r="H72" s="52">
        <v>0</v>
      </c>
      <c r="I72" s="42"/>
      <c r="J72" s="42"/>
      <c r="K72" s="52">
        <v>0</v>
      </c>
      <c r="L72" s="52">
        <v>0</v>
      </c>
      <c r="M72" s="52">
        <v>0</v>
      </c>
      <c r="N72" s="52">
        <v>0</v>
      </c>
      <c r="O72" s="25" t="s">
        <v>160</v>
      </c>
      <c r="P72" s="25"/>
      <c r="Q72" s="25"/>
      <c r="R72" s="25"/>
      <c r="S72" s="25"/>
    </row>
    <row r="73" spans="1:19" s="11" customFormat="1" ht="65.25" hidden="1" customHeight="1" x14ac:dyDescent="0.3">
      <c r="A73" s="72" t="s">
        <v>60</v>
      </c>
      <c r="B73" s="73"/>
      <c r="C73" s="74"/>
      <c r="D73" s="78"/>
      <c r="E73" s="79"/>
      <c r="F73" s="79"/>
      <c r="G73" s="79"/>
      <c r="H73" s="79"/>
      <c r="I73" s="79"/>
      <c r="J73" s="79"/>
      <c r="K73" s="79"/>
      <c r="L73" s="79"/>
      <c r="M73" s="79"/>
      <c r="N73" s="79"/>
      <c r="O73" s="79"/>
      <c r="P73" s="79"/>
      <c r="Q73" s="79"/>
      <c r="R73" s="79"/>
      <c r="S73" s="80"/>
    </row>
    <row r="74" spans="1:19" s="5" customFormat="1" ht="132.6" customHeight="1" x14ac:dyDescent="0.25">
      <c r="A74" s="14" t="s">
        <v>173</v>
      </c>
      <c r="B74" s="16" t="s">
        <v>174</v>
      </c>
      <c r="C74" s="23" t="s">
        <v>151</v>
      </c>
      <c r="D74" s="26">
        <f t="shared" ref="D74" si="29">G74+I74+K74+M74</f>
        <v>20475</v>
      </c>
      <c r="E74" s="26">
        <f t="shared" ref="E74" si="30">H74+J74+L74+N74</f>
        <v>10237.5</v>
      </c>
      <c r="F74" s="26">
        <f t="shared" ref="F74" si="31">E74/D74*100</f>
        <v>50</v>
      </c>
      <c r="G74" s="24">
        <v>0</v>
      </c>
      <c r="H74" s="24">
        <v>0</v>
      </c>
      <c r="I74" s="42">
        <v>20475</v>
      </c>
      <c r="J74" s="42">
        <v>10237.5</v>
      </c>
      <c r="K74" s="24">
        <v>0</v>
      </c>
      <c r="L74" s="24">
        <v>0</v>
      </c>
      <c r="M74" s="24">
        <v>0</v>
      </c>
      <c r="N74" s="24">
        <v>0</v>
      </c>
      <c r="O74" s="67" t="s">
        <v>288</v>
      </c>
      <c r="P74" s="67" t="s">
        <v>191</v>
      </c>
      <c r="Q74" s="67" t="s">
        <v>191</v>
      </c>
      <c r="R74" s="25"/>
      <c r="S74" s="33"/>
    </row>
    <row r="75" spans="1:19" s="11" customFormat="1" ht="65.25" customHeight="1" x14ac:dyDescent="0.25">
      <c r="A75" s="72" t="s">
        <v>60</v>
      </c>
      <c r="B75" s="73"/>
      <c r="C75" s="74"/>
      <c r="D75" s="78"/>
      <c r="E75" s="79"/>
      <c r="F75" s="79"/>
      <c r="G75" s="79"/>
      <c r="H75" s="79"/>
      <c r="I75" s="79"/>
      <c r="J75" s="79"/>
      <c r="K75" s="79"/>
      <c r="L75" s="79"/>
      <c r="M75" s="79"/>
      <c r="N75" s="79"/>
      <c r="O75" s="79"/>
      <c r="P75" s="79"/>
      <c r="Q75" s="79"/>
      <c r="R75" s="79"/>
      <c r="S75" s="80"/>
    </row>
    <row r="76" spans="1:19" s="5" customFormat="1" ht="160.15" customHeight="1" x14ac:dyDescent="0.25">
      <c r="A76" s="14" t="s">
        <v>61</v>
      </c>
      <c r="B76" s="23" t="s">
        <v>96</v>
      </c>
      <c r="C76" s="23" t="s">
        <v>25</v>
      </c>
      <c r="D76" s="26">
        <f t="shared" si="4"/>
        <v>9854</v>
      </c>
      <c r="E76" s="26">
        <f t="shared" si="4"/>
        <v>1025.7</v>
      </c>
      <c r="F76" s="26">
        <f t="shared" si="10"/>
        <v>10.408970976253299</v>
      </c>
      <c r="G76" s="24">
        <v>0</v>
      </c>
      <c r="H76" s="24">
        <v>0</v>
      </c>
      <c r="I76" s="42">
        <f>2154+7700</f>
        <v>9854</v>
      </c>
      <c r="J76" s="26">
        <v>1025.7</v>
      </c>
      <c r="K76" s="24">
        <v>0</v>
      </c>
      <c r="L76" s="24">
        <v>0</v>
      </c>
      <c r="M76" s="24">
        <v>0</v>
      </c>
      <c r="N76" s="24">
        <v>0</v>
      </c>
      <c r="O76" s="65" t="s">
        <v>289</v>
      </c>
      <c r="P76" s="65">
        <v>1</v>
      </c>
      <c r="Q76" s="67">
        <v>1</v>
      </c>
      <c r="R76" s="33"/>
      <c r="S76" s="33"/>
    </row>
    <row r="77" spans="1:19" s="11" customFormat="1" ht="60" customHeight="1" x14ac:dyDescent="0.25">
      <c r="A77" s="72" t="s">
        <v>60</v>
      </c>
      <c r="B77" s="73"/>
      <c r="C77" s="74"/>
      <c r="D77" s="78"/>
      <c r="E77" s="79"/>
      <c r="F77" s="79"/>
      <c r="G77" s="79"/>
      <c r="H77" s="79"/>
      <c r="I77" s="79"/>
      <c r="J77" s="79"/>
      <c r="K77" s="79"/>
      <c r="L77" s="79"/>
      <c r="M77" s="79"/>
      <c r="N77" s="79"/>
      <c r="O77" s="79"/>
      <c r="P77" s="79"/>
      <c r="Q77" s="79"/>
      <c r="R77" s="79"/>
      <c r="S77" s="80"/>
    </row>
    <row r="78" spans="1:19" s="5" customFormat="1" ht="81.75" customHeight="1" x14ac:dyDescent="0.25">
      <c r="A78" s="14" t="s">
        <v>39</v>
      </c>
      <c r="B78" s="15" t="s">
        <v>161</v>
      </c>
      <c r="C78" s="43"/>
      <c r="D78" s="44">
        <f>D84+D80+D82+D86+D88+D90</f>
        <v>674837.3</v>
      </c>
      <c r="E78" s="44">
        <f>E84+E80+E82+E86+E88+E90</f>
        <v>364921.24000000005</v>
      </c>
      <c r="F78" s="44">
        <f>E78/D78*100</f>
        <v>54.075440109786463</v>
      </c>
      <c r="G78" s="44">
        <f t="shared" ref="G78:N78" si="32">G84+G80+G82+G86+G88+G90</f>
        <v>0</v>
      </c>
      <c r="H78" s="44">
        <f t="shared" si="32"/>
        <v>0</v>
      </c>
      <c r="I78" s="44">
        <f t="shared" si="32"/>
        <v>674837.3</v>
      </c>
      <c r="J78" s="44">
        <f t="shared" si="32"/>
        <v>364921.24000000005</v>
      </c>
      <c r="K78" s="44">
        <f t="shared" si="32"/>
        <v>0</v>
      </c>
      <c r="L78" s="44">
        <f t="shared" si="32"/>
        <v>0</v>
      </c>
      <c r="M78" s="44">
        <f t="shared" si="32"/>
        <v>0</v>
      </c>
      <c r="N78" s="44">
        <f t="shared" si="32"/>
        <v>0</v>
      </c>
      <c r="O78" s="23"/>
      <c r="P78" s="23" t="s">
        <v>158</v>
      </c>
      <c r="Q78" s="23" t="s">
        <v>158</v>
      </c>
      <c r="R78" s="23"/>
      <c r="S78" s="23"/>
    </row>
    <row r="79" spans="1:19" s="5" customFormat="1" x14ac:dyDescent="0.25">
      <c r="A79" s="14"/>
      <c r="B79" s="45" t="s">
        <v>38</v>
      </c>
      <c r="C79" s="23"/>
      <c r="D79" s="26"/>
      <c r="E79" s="26"/>
      <c r="F79" s="26"/>
      <c r="G79" s="26"/>
      <c r="H79" s="26"/>
      <c r="I79" s="42"/>
      <c r="J79" s="26"/>
      <c r="K79" s="26"/>
      <c r="L79" s="26"/>
      <c r="M79" s="26"/>
      <c r="N79" s="26"/>
      <c r="O79" s="23"/>
      <c r="P79" s="23"/>
      <c r="Q79" s="23"/>
      <c r="R79" s="23"/>
      <c r="S79" s="23"/>
    </row>
    <row r="80" spans="1:19" s="5" customFormat="1" ht="165.75" x14ac:dyDescent="0.25">
      <c r="A80" s="14" t="s">
        <v>40</v>
      </c>
      <c r="B80" s="23" t="s">
        <v>97</v>
      </c>
      <c r="C80" s="23" t="s">
        <v>42</v>
      </c>
      <c r="D80" s="26">
        <f>G80+I80+K80+M80</f>
        <v>34637.4</v>
      </c>
      <c r="E80" s="26">
        <f>H80+J80+L80+N80</f>
        <v>17709.2</v>
      </c>
      <c r="F80" s="26">
        <f>E80/D80*100</f>
        <v>51.127394088470844</v>
      </c>
      <c r="G80" s="24">
        <v>0</v>
      </c>
      <c r="H80" s="24">
        <v>0</v>
      </c>
      <c r="I80" s="42">
        <v>34637.4</v>
      </c>
      <c r="J80" s="42">
        <v>17709.2</v>
      </c>
      <c r="K80" s="24">
        <v>0</v>
      </c>
      <c r="L80" s="24">
        <v>0</v>
      </c>
      <c r="M80" s="24">
        <v>0</v>
      </c>
      <c r="N80" s="24">
        <v>0</v>
      </c>
      <c r="O80" s="65" t="s">
        <v>287</v>
      </c>
      <c r="P80" s="65">
        <v>1</v>
      </c>
      <c r="Q80" s="65">
        <v>1</v>
      </c>
      <c r="R80" s="33"/>
      <c r="S80" s="33"/>
    </row>
    <row r="81" spans="1:19" s="11" customFormat="1" ht="68.25" customHeight="1" x14ac:dyDescent="0.25">
      <c r="A81" s="72" t="s">
        <v>60</v>
      </c>
      <c r="B81" s="73"/>
      <c r="C81" s="74"/>
      <c r="D81" s="84"/>
      <c r="E81" s="85"/>
      <c r="F81" s="85"/>
      <c r="G81" s="85"/>
      <c r="H81" s="85"/>
      <c r="I81" s="85"/>
      <c r="J81" s="85"/>
      <c r="K81" s="85"/>
      <c r="L81" s="85"/>
      <c r="M81" s="85"/>
      <c r="N81" s="85"/>
      <c r="O81" s="85"/>
      <c r="P81" s="85"/>
      <c r="Q81" s="85"/>
      <c r="R81" s="85"/>
      <c r="S81" s="86"/>
    </row>
    <row r="82" spans="1:19" s="5" customFormat="1" ht="160.5" customHeight="1" x14ac:dyDescent="0.25">
      <c r="A82" s="14" t="s">
        <v>41</v>
      </c>
      <c r="B82" s="16" t="s">
        <v>162</v>
      </c>
      <c r="C82" s="23" t="s">
        <v>13</v>
      </c>
      <c r="D82" s="26">
        <f>G82+I82+K82+M82</f>
        <v>449939.7</v>
      </c>
      <c r="E82" s="26">
        <f>H82+J82+L82+N82</f>
        <v>233529.24000000002</v>
      </c>
      <c r="F82" s="26">
        <f>E82/D82*100</f>
        <v>51.902341580438446</v>
      </c>
      <c r="G82" s="24">
        <v>0</v>
      </c>
      <c r="H82" s="24">
        <v>0</v>
      </c>
      <c r="I82" s="42">
        <v>449939.7</v>
      </c>
      <c r="J82" s="26">
        <f>15.73+233513.51</f>
        <v>233529.24000000002</v>
      </c>
      <c r="K82" s="24">
        <v>0</v>
      </c>
      <c r="L82" s="24">
        <v>0</v>
      </c>
      <c r="M82" s="24">
        <v>0</v>
      </c>
      <c r="N82" s="24">
        <v>0</v>
      </c>
      <c r="O82" s="65" t="s">
        <v>290</v>
      </c>
      <c r="P82" s="65">
        <v>100</v>
      </c>
      <c r="Q82" s="66">
        <v>100</v>
      </c>
      <c r="R82" s="25" t="s">
        <v>329</v>
      </c>
      <c r="S82" s="23"/>
    </row>
    <row r="83" spans="1:19" s="11" customFormat="1" ht="63" customHeight="1" x14ac:dyDescent="0.25">
      <c r="A83" s="72" t="s">
        <v>60</v>
      </c>
      <c r="B83" s="73"/>
      <c r="C83" s="74"/>
      <c r="D83" s="78"/>
      <c r="E83" s="79"/>
      <c r="F83" s="79"/>
      <c r="G83" s="79"/>
      <c r="H83" s="79"/>
      <c r="I83" s="79"/>
      <c r="J83" s="79"/>
      <c r="K83" s="79"/>
      <c r="L83" s="79"/>
      <c r="M83" s="79"/>
      <c r="N83" s="79"/>
      <c r="O83" s="79"/>
      <c r="P83" s="79"/>
      <c r="Q83" s="79"/>
      <c r="R83" s="79"/>
      <c r="S83" s="80"/>
    </row>
    <row r="84" spans="1:19" s="5" customFormat="1" ht="126" customHeight="1" x14ac:dyDescent="0.25">
      <c r="A84" s="14" t="s">
        <v>43</v>
      </c>
      <c r="B84" s="16" t="s">
        <v>163</v>
      </c>
      <c r="C84" s="23" t="s">
        <v>13</v>
      </c>
      <c r="D84" s="26">
        <f t="shared" si="4"/>
        <v>35492.9</v>
      </c>
      <c r="E84" s="26">
        <f t="shared" si="4"/>
        <v>16263.1</v>
      </c>
      <c r="F84" s="26">
        <f t="shared" si="10"/>
        <v>45.820713438462342</v>
      </c>
      <c r="G84" s="26">
        <v>0</v>
      </c>
      <c r="H84" s="26">
        <v>0</v>
      </c>
      <c r="I84" s="42">
        <v>35492.9</v>
      </c>
      <c r="J84" s="26">
        <v>16263.1</v>
      </c>
      <c r="K84" s="26">
        <v>0</v>
      </c>
      <c r="L84" s="26">
        <v>0</v>
      </c>
      <c r="M84" s="26">
        <v>0</v>
      </c>
      <c r="N84" s="26">
        <v>0</v>
      </c>
      <c r="O84" s="65" t="s">
        <v>291</v>
      </c>
      <c r="P84" s="65">
        <v>30</v>
      </c>
      <c r="Q84" s="66">
        <v>30</v>
      </c>
      <c r="R84" s="23"/>
      <c r="S84" s="23"/>
    </row>
    <row r="85" spans="1:19" s="11" customFormat="1" ht="63" customHeight="1" x14ac:dyDescent="0.25">
      <c r="A85" s="72" t="s">
        <v>60</v>
      </c>
      <c r="B85" s="73"/>
      <c r="C85" s="74"/>
      <c r="D85" s="78"/>
      <c r="E85" s="79"/>
      <c r="F85" s="79"/>
      <c r="G85" s="79"/>
      <c r="H85" s="79"/>
      <c r="I85" s="79"/>
      <c r="J85" s="79"/>
      <c r="K85" s="79"/>
      <c r="L85" s="79"/>
      <c r="M85" s="79"/>
      <c r="N85" s="79"/>
      <c r="O85" s="79"/>
      <c r="P85" s="79"/>
      <c r="Q85" s="79"/>
      <c r="R85" s="79"/>
      <c r="S85" s="80"/>
    </row>
    <row r="86" spans="1:19" s="5" customFormat="1" ht="139.9" customHeight="1" x14ac:dyDescent="0.25">
      <c r="A86" s="14" t="s">
        <v>98</v>
      </c>
      <c r="B86" s="16" t="s">
        <v>99</v>
      </c>
      <c r="C86" s="23" t="s">
        <v>100</v>
      </c>
      <c r="D86" s="42">
        <f t="shared" ref="D86:E86" si="33">G86+I86+K86+M86</f>
        <v>281.39999999999998</v>
      </c>
      <c r="E86" s="42">
        <f t="shared" si="33"/>
        <v>0</v>
      </c>
      <c r="F86" s="42">
        <f t="shared" ref="F86" si="34">E86/D86*100</f>
        <v>0</v>
      </c>
      <c r="G86" s="52">
        <v>0</v>
      </c>
      <c r="H86" s="52">
        <v>0</v>
      </c>
      <c r="I86" s="42">
        <v>281.39999999999998</v>
      </c>
      <c r="J86" s="42">
        <v>0</v>
      </c>
      <c r="K86" s="52">
        <v>0</v>
      </c>
      <c r="L86" s="52">
        <v>0</v>
      </c>
      <c r="M86" s="52">
        <v>0</v>
      </c>
      <c r="N86" s="52">
        <v>0</v>
      </c>
      <c r="O86" s="67" t="s">
        <v>292</v>
      </c>
      <c r="P86" s="67" t="s">
        <v>158</v>
      </c>
      <c r="Q86" s="67" t="s">
        <v>158</v>
      </c>
      <c r="R86" s="25"/>
      <c r="S86" s="25"/>
    </row>
    <row r="87" spans="1:19" s="11" customFormat="1" ht="60" customHeight="1" x14ac:dyDescent="0.25">
      <c r="A87" s="72" t="s">
        <v>60</v>
      </c>
      <c r="B87" s="73"/>
      <c r="C87" s="74"/>
      <c r="D87" s="78"/>
      <c r="E87" s="79"/>
      <c r="F87" s="79"/>
      <c r="G87" s="79"/>
      <c r="H87" s="79"/>
      <c r="I87" s="79"/>
      <c r="J87" s="79"/>
      <c r="K87" s="79"/>
      <c r="L87" s="79"/>
      <c r="M87" s="79"/>
      <c r="N87" s="79"/>
      <c r="O87" s="79"/>
      <c r="P87" s="79"/>
      <c r="Q87" s="79"/>
      <c r="R87" s="79"/>
      <c r="S87" s="80"/>
    </row>
    <row r="88" spans="1:19" s="5" customFormat="1" ht="139.9" customHeight="1" x14ac:dyDescent="0.25">
      <c r="A88" s="14" t="s">
        <v>239</v>
      </c>
      <c r="B88" s="16" t="s">
        <v>240</v>
      </c>
      <c r="C88" s="23" t="s">
        <v>30</v>
      </c>
      <c r="D88" s="42">
        <f t="shared" ref="D88" si="35">G88+I88+K88+M88</f>
        <v>400</v>
      </c>
      <c r="E88" s="42">
        <f t="shared" ref="E88" si="36">H88+J88+L88+N88</f>
        <v>375</v>
      </c>
      <c r="F88" s="42">
        <f t="shared" ref="F88" si="37">E88/D88*100</f>
        <v>93.75</v>
      </c>
      <c r="G88" s="52">
        <v>0</v>
      </c>
      <c r="H88" s="52">
        <v>0</v>
      </c>
      <c r="I88" s="42">
        <v>400</v>
      </c>
      <c r="J88" s="42">
        <v>375</v>
      </c>
      <c r="K88" s="52">
        <v>0</v>
      </c>
      <c r="L88" s="52">
        <v>0</v>
      </c>
      <c r="M88" s="52">
        <v>0</v>
      </c>
      <c r="N88" s="52">
        <v>0</v>
      </c>
      <c r="O88" s="67" t="s">
        <v>293</v>
      </c>
      <c r="P88" s="67">
        <v>14</v>
      </c>
      <c r="Q88" s="67">
        <v>14</v>
      </c>
      <c r="R88" s="25"/>
      <c r="S88" s="25"/>
    </row>
    <row r="89" spans="1:19" s="11" customFormat="1" ht="60" customHeight="1" x14ac:dyDescent="0.25">
      <c r="A89" s="72" t="s">
        <v>60</v>
      </c>
      <c r="B89" s="73"/>
      <c r="C89" s="74"/>
      <c r="D89" s="78"/>
      <c r="E89" s="79"/>
      <c r="F89" s="79"/>
      <c r="G89" s="79"/>
      <c r="H89" s="79"/>
      <c r="I89" s="79"/>
      <c r="J89" s="79"/>
      <c r="K89" s="79"/>
      <c r="L89" s="79"/>
      <c r="M89" s="79"/>
      <c r="N89" s="79"/>
      <c r="O89" s="79"/>
      <c r="P89" s="79"/>
      <c r="Q89" s="79"/>
      <c r="R89" s="79"/>
      <c r="S89" s="80"/>
    </row>
    <row r="90" spans="1:19" s="5" customFormat="1" ht="178.5" x14ac:dyDescent="0.25">
      <c r="A90" s="14" t="s">
        <v>216</v>
      </c>
      <c r="B90" s="16" t="s">
        <v>217</v>
      </c>
      <c r="C90" s="23" t="s">
        <v>153</v>
      </c>
      <c r="D90" s="26">
        <f t="shared" ref="D90" si="38">G90+I90+K90+M90</f>
        <v>154085.9</v>
      </c>
      <c r="E90" s="26">
        <f t="shared" ref="E90" si="39">H90+J90+L90+N90</f>
        <v>97044.7</v>
      </c>
      <c r="F90" s="26">
        <f t="shared" ref="F90" si="40">E90/D90*100</f>
        <v>62.980908700925909</v>
      </c>
      <c r="G90" s="26">
        <v>0</v>
      </c>
      <c r="H90" s="26">
        <v>0</v>
      </c>
      <c r="I90" s="42">
        <v>154085.9</v>
      </c>
      <c r="J90" s="26">
        <v>97044.7</v>
      </c>
      <c r="K90" s="24">
        <v>0</v>
      </c>
      <c r="L90" s="24">
        <v>0</v>
      </c>
      <c r="M90" s="24">
        <v>0</v>
      </c>
      <c r="N90" s="24">
        <v>0</v>
      </c>
      <c r="O90" s="65" t="s">
        <v>294</v>
      </c>
      <c r="P90" s="65">
        <v>100</v>
      </c>
      <c r="Q90" s="66">
        <v>100</v>
      </c>
      <c r="R90" s="25"/>
      <c r="S90" s="33"/>
    </row>
    <row r="91" spans="1:19" s="11" customFormat="1" ht="58.5" customHeight="1" x14ac:dyDescent="0.25">
      <c r="A91" s="72" t="s">
        <v>60</v>
      </c>
      <c r="B91" s="73"/>
      <c r="C91" s="74"/>
      <c r="D91" s="75"/>
      <c r="E91" s="76"/>
      <c r="F91" s="76"/>
      <c r="G91" s="76"/>
      <c r="H91" s="76"/>
      <c r="I91" s="76"/>
      <c r="J91" s="76"/>
      <c r="K91" s="76"/>
      <c r="L91" s="76"/>
      <c r="M91" s="76"/>
      <c r="N91" s="76"/>
      <c r="O91" s="76"/>
      <c r="P91" s="76"/>
      <c r="Q91" s="76"/>
      <c r="R91" s="76"/>
      <c r="S91" s="77"/>
    </row>
    <row r="92" spans="1:19" s="5" customFormat="1" ht="81.75" customHeight="1" x14ac:dyDescent="0.25">
      <c r="A92" s="46" t="s">
        <v>101</v>
      </c>
      <c r="B92" s="15" t="s">
        <v>102</v>
      </c>
      <c r="C92" s="43"/>
      <c r="D92" s="44">
        <f>+D97+D94+D99</f>
        <v>0</v>
      </c>
      <c r="E92" s="44">
        <f t="shared" ref="E92:N92" si="41">+E97+E94+E99</f>
        <v>0</v>
      </c>
      <c r="F92" s="44" t="e">
        <f>E92/D92*100</f>
        <v>#DIV/0!</v>
      </c>
      <c r="G92" s="44">
        <f t="shared" si="41"/>
        <v>0</v>
      </c>
      <c r="H92" s="44">
        <f t="shared" si="41"/>
        <v>0</v>
      </c>
      <c r="I92" s="53">
        <f t="shared" si="41"/>
        <v>0</v>
      </c>
      <c r="J92" s="44">
        <f t="shared" si="41"/>
        <v>0</v>
      </c>
      <c r="K92" s="44">
        <f t="shared" si="41"/>
        <v>0</v>
      </c>
      <c r="L92" s="44">
        <f t="shared" si="41"/>
        <v>0</v>
      </c>
      <c r="M92" s="44">
        <f t="shared" si="41"/>
        <v>0</v>
      </c>
      <c r="N92" s="44">
        <f t="shared" si="41"/>
        <v>0</v>
      </c>
      <c r="O92" s="23"/>
      <c r="P92" s="23"/>
      <c r="Q92" s="23"/>
      <c r="R92" s="23"/>
      <c r="S92" s="23"/>
    </row>
    <row r="93" spans="1:19" s="5" customFormat="1" x14ac:dyDescent="0.25">
      <c r="A93" s="14"/>
      <c r="B93" s="16" t="s">
        <v>38</v>
      </c>
      <c r="C93" s="23"/>
      <c r="D93" s="26"/>
      <c r="E93" s="26"/>
      <c r="F93" s="26"/>
      <c r="G93" s="26"/>
      <c r="H93" s="26"/>
      <c r="I93" s="42"/>
      <c r="J93" s="26"/>
      <c r="K93" s="26"/>
      <c r="L93" s="26"/>
      <c r="M93" s="26"/>
      <c r="N93" s="26"/>
      <c r="O93" s="23"/>
      <c r="P93" s="23"/>
      <c r="Q93" s="23"/>
      <c r="R93" s="23"/>
      <c r="S93" s="23"/>
    </row>
    <row r="94" spans="1:19" s="5" customFormat="1" ht="270.60000000000002" customHeight="1" x14ac:dyDescent="0.25">
      <c r="A94" s="14" t="s">
        <v>62</v>
      </c>
      <c r="B94" s="16" t="s">
        <v>157</v>
      </c>
      <c r="C94" s="25" t="s">
        <v>233</v>
      </c>
      <c r="D94" s="42">
        <f t="shared" ref="D94:E94" si="42">G94+I94+K94+M94</f>
        <v>0</v>
      </c>
      <c r="E94" s="42">
        <f t="shared" si="42"/>
        <v>0</v>
      </c>
      <c r="F94" s="42" t="e">
        <f t="shared" ref="F94" si="43">E94/D94*100</f>
        <v>#DIV/0!</v>
      </c>
      <c r="G94" s="52">
        <v>0</v>
      </c>
      <c r="H94" s="52">
        <v>0</v>
      </c>
      <c r="I94" s="42">
        <v>0</v>
      </c>
      <c r="J94" s="42">
        <v>0</v>
      </c>
      <c r="K94" s="42">
        <f>I94*20/80</f>
        <v>0</v>
      </c>
      <c r="L94" s="42">
        <f>J94*20/80</f>
        <v>0</v>
      </c>
      <c r="M94" s="52">
        <v>0</v>
      </c>
      <c r="N94" s="52">
        <v>0</v>
      </c>
      <c r="O94" s="67" t="s">
        <v>295</v>
      </c>
      <c r="P94" s="67" t="s">
        <v>158</v>
      </c>
      <c r="Q94" s="67" t="s">
        <v>158</v>
      </c>
      <c r="R94" s="25"/>
      <c r="S94" s="23"/>
    </row>
    <row r="95" spans="1:19" s="11" customFormat="1" ht="65.25" customHeight="1" x14ac:dyDescent="0.25">
      <c r="A95" s="72" t="s">
        <v>60</v>
      </c>
      <c r="B95" s="73"/>
      <c r="C95" s="74"/>
      <c r="D95" s="81"/>
      <c r="E95" s="82"/>
      <c r="F95" s="82"/>
      <c r="G95" s="82"/>
      <c r="H95" s="82"/>
      <c r="I95" s="82"/>
      <c r="J95" s="82"/>
      <c r="K95" s="82"/>
      <c r="L95" s="82"/>
      <c r="M95" s="82"/>
      <c r="N95" s="82"/>
      <c r="O95" s="82"/>
      <c r="P95" s="82"/>
      <c r="Q95" s="82"/>
      <c r="R95" s="82"/>
      <c r="S95" s="83"/>
    </row>
    <row r="96" spans="1:19" s="5" customFormat="1" ht="25.5" x14ac:dyDescent="0.25">
      <c r="A96" s="46" t="s">
        <v>103</v>
      </c>
      <c r="B96" s="15" t="s">
        <v>104</v>
      </c>
      <c r="C96" s="43"/>
      <c r="D96" s="44">
        <f>G96+I96+K96+M96</f>
        <v>1869998.8</v>
      </c>
      <c r="E96" s="44">
        <f>H96+J96+L96+N96</f>
        <v>1245222.31</v>
      </c>
      <c r="F96" s="44">
        <f>E96/D96*100</f>
        <v>66.589471073457375</v>
      </c>
      <c r="G96" s="44">
        <f>G98+G100+G102+G104+G106+G108+G110+G112</f>
        <v>1383164.9</v>
      </c>
      <c r="H96" s="44">
        <f>H98+H100+H102+H104+H106+H108+H110+H112</f>
        <v>940071</v>
      </c>
      <c r="I96" s="44">
        <f t="shared" ref="I96:N96" si="44">I98+I100+I102+I104+I106+I108+I110+I112</f>
        <v>483972.6</v>
      </c>
      <c r="J96" s="44">
        <f t="shared" si="44"/>
        <v>304588.01</v>
      </c>
      <c r="K96" s="44">
        <f t="shared" si="44"/>
        <v>0</v>
      </c>
      <c r="L96" s="44">
        <f t="shared" si="44"/>
        <v>0</v>
      </c>
      <c r="M96" s="44">
        <f t="shared" si="44"/>
        <v>2861.3</v>
      </c>
      <c r="N96" s="44">
        <f t="shared" si="44"/>
        <v>563.29999999999995</v>
      </c>
      <c r="O96" s="23"/>
      <c r="P96" s="23"/>
      <c r="Q96" s="23"/>
      <c r="R96" s="23"/>
      <c r="S96" s="23"/>
    </row>
    <row r="97" spans="1:19" s="5" customFormat="1" x14ac:dyDescent="0.25">
      <c r="A97" s="14"/>
      <c r="B97" s="16" t="s">
        <v>38</v>
      </c>
      <c r="C97" s="23"/>
      <c r="D97" s="26"/>
      <c r="E97" s="26"/>
      <c r="F97" s="26"/>
      <c r="G97" s="26"/>
      <c r="H97" s="26"/>
      <c r="I97" s="42"/>
      <c r="J97" s="26"/>
      <c r="K97" s="26"/>
      <c r="L97" s="26"/>
      <c r="M97" s="26"/>
      <c r="N97" s="26"/>
      <c r="O97" s="23"/>
      <c r="P97" s="23"/>
      <c r="Q97" s="23"/>
      <c r="R97" s="23"/>
      <c r="S97" s="23"/>
    </row>
    <row r="98" spans="1:19" s="5" customFormat="1" ht="191.25" x14ac:dyDescent="0.25">
      <c r="A98" s="14" t="s">
        <v>105</v>
      </c>
      <c r="B98" s="16" t="s">
        <v>164</v>
      </c>
      <c r="C98" s="23" t="s">
        <v>186</v>
      </c>
      <c r="D98" s="26">
        <f t="shared" ref="D98:E98" si="45">G98+I98+K98+M98</f>
        <v>412843.89999999997</v>
      </c>
      <c r="E98" s="26">
        <f t="shared" si="45"/>
        <v>201083.5</v>
      </c>
      <c r="F98" s="26">
        <f t="shared" ref="F98" si="46">E98/D98*100</f>
        <v>48.706908349620768</v>
      </c>
      <c r="G98" s="26">
        <v>268747.09999999998</v>
      </c>
      <c r="H98" s="26">
        <v>129248.7</v>
      </c>
      <c r="I98" s="26">
        <v>144096.79999999999</v>
      </c>
      <c r="J98" s="42">
        <f>201083.5-129248.7</f>
        <v>71834.8</v>
      </c>
      <c r="K98" s="42">
        <v>0</v>
      </c>
      <c r="L98" s="27">
        <v>0</v>
      </c>
      <c r="M98" s="24">
        <v>0</v>
      </c>
      <c r="N98" s="24">
        <v>0</v>
      </c>
      <c r="O98" s="65" t="s">
        <v>296</v>
      </c>
      <c r="P98" s="65" t="s">
        <v>158</v>
      </c>
      <c r="Q98" s="65" t="s">
        <v>158</v>
      </c>
      <c r="R98" s="23"/>
      <c r="S98" s="23"/>
    </row>
    <row r="99" spans="1:19" s="11" customFormat="1" ht="66.75" customHeight="1" x14ac:dyDescent="0.25">
      <c r="A99" s="72" t="s">
        <v>60</v>
      </c>
      <c r="B99" s="73"/>
      <c r="C99" s="74"/>
      <c r="D99" s="84"/>
      <c r="E99" s="85"/>
      <c r="F99" s="85"/>
      <c r="G99" s="85"/>
      <c r="H99" s="85"/>
      <c r="I99" s="85"/>
      <c r="J99" s="85"/>
      <c r="K99" s="85"/>
      <c r="L99" s="85"/>
      <c r="M99" s="85"/>
      <c r="N99" s="85"/>
      <c r="O99" s="85"/>
      <c r="P99" s="85"/>
      <c r="Q99" s="85"/>
      <c r="R99" s="85"/>
      <c r="S99" s="86"/>
    </row>
    <row r="100" spans="1:19" s="5" customFormat="1" ht="225" customHeight="1" x14ac:dyDescent="0.25">
      <c r="A100" s="14" t="s">
        <v>192</v>
      </c>
      <c r="B100" s="16" t="s">
        <v>193</v>
      </c>
      <c r="C100" s="23" t="s">
        <v>152</v>
      </c>
      <c r="D100" s="26">
        <f t="shared" ref="D100:E100" si="47">G100+I100+K100+M100</f>
        <v>34512.400000000001</v>
      </c>
      <c r="E100" s="26">
        <f t="shared" si="47"/>
        <v>8160.7000000000007</v>
      </c>
      <c r="F100" s="26">
        <f t="shared" ref="F100" si="48">E100/D100*100</f>
        <v>23.64570415271033</v>
      </c>
      <c r="G100" s="26">
        <v>34167.300000000003</v>
      </c>
      <c r="H100" s="24">
        <v>8079.1</v>
      </c>
      <c r="I100" s="42">
        <v>345.1</v>
      </c>
      <c r="J100" s="24">
        <v>81.599999999999994</v>
      </c>
      <c r="K100" s="24">
        <v>0</v>
      </c>
      <c r="L100" s="24">
        <v>0</v>
      </c>
      <c r="M100" s="24">
        <v>0</v>
      </c>
      <c r="N100" s="24">
        <v>0</v>
      </c>
      <c r="O100" s="65" t="s">
        <v>297</v>
      </c>
      <c r="P100" s="67" t="s">
        <v>158</v>
      </c>
      <c r="Q100" s="67" t="s">
        <v>158</v>
      </c>
      <c r="R100" s="23"/>
      <c r="S100" s="23"/>
    </row>
    <row r="101" spans="1:19" s="11" customFormat="1" ht="57" customHeight="1" x14ac:dyDescent="0.25">
      <c r="A101" s="72" t="s">
        <v>60</v>
      </c>
      <c r="B101" s="73"/>
      <c r="C101" s="74"/>
      <c r="D101" s="90"/>
      <c r="E101" s="91"/>
      <c r="F101" s="91"/>
      <c r="G101" s="91"/>
      <c r="H101" s="91"/>
      <c r="I101" s="91"/>
      <c r="J101" s="91"/>
      <c r="K101" s="91"/>
      <c r="L101" s="91"/>
      <c r="M101" s="91"/>
      <c r="N101" s="91"/>
      <c r="O101" s="91"/>
      <c r="P101" s="91"/>
      <c r="Q101" s="91"/>
      <c r="R101" s="91"/>
      <c r="S101" s="92"/>
    </row>
    <row r="102" spans="1:19" s="5" customFormat="1" ht="225" customHeight="1" x14ac:dyDescent="0.25">
      <c r="A102" s="14" t="s">
        <v>194</v>
      </c>
      <c r="B102" s="16" t="s">
        <v>195</v>
      </c>
      <c r="C102" s="23" t="s">
        <v>196</v>
      </c>
      <c r="D102" s="26">
        <f t="shared" ref="D102" si="49">G102+I102+K102+M102</f>
        <v>7949.8</v>
      </c>
      <c r="E102" s="26">
        <f t="shared" ref="E102" si="50">H102+J102+L102+N102</f>
        <v>7949.8</v>
      </c>
      <c r="F102" s="26">
        <f t="shared" ref="F102" si="51">E102/D102*100</f>
        <v>100</v>
      </c>
      <c r="G102" s="26">
        <v>7870.3</v>
      </c>
      <c r="H102" s="24">
        <v>7870.3</v>
      </c>
      <c r="I102" s="42">
        <v>79.5</v>
      </c>
      <c r="J102" s="24">
        <v>79.5</v>
      </c>
      <c r="K102" s="24">
        <v>0</v>
      </c>
      <c r="L102" s="24">
        <v>0</v>
      </c>
      <c r="M102" s="24">
        <v>0</v>
      </c>
      <c r="N102" s="24">
        <v>0</v>
      </c>
      <c r="O102" s="65" t="s">
        <v>298</v>
      </c>
      <c r="P102" s="67" t="s">
        <v>158</v>
      </c>
      <c r="Q102" s="67" t="s">
        <v>158</v>
      </c>
      <c r="R102" s="23"/>
      <c r="S102" s="23"/>
    </row>
    <row r="103" spans="1:19" s="11" customFormat="1" ht="57" customHeight="1" x14ac:dyDescent="0.25">
      <c r="A103" s="72" t="s">
        <v>60</v>
      </c>
      <c r="B103" s="73"/>
      <c r="C103" s="74"/>
      <c r="D103" s="90"/>
      <c r="E103" s="91"/>
      <c r="F103" s="91"/>
      <c r="G103" s="91"/>
      <c r="H103" s="91"/>
      <c r="I103" s="91"/>
      <c r="J103" s="91"/>
      <c r="K103" s="91"/>
      <c r="L103" s="91"/>
      <c r="M103" s="91"/>
      <c r="N103" s="91"/>
      <c r="O103" s="91"/>
      <c r="P103" s="91"/>
      <c r="Q103" s="91"/>
      <c r="R103" s="91"/>
      <c r="S103" s="92"/>
    </row>
    <row r="104" spans="1:19" s="5" customFormat="1" ht="225" customHeight="1" x14ac:dyDescent="0.25">
      <c r="A104" s="14" t="s">
        <v>198</v>
      </c>
      <c r="B104" s="16" t="s">
        <v>197</v>
      </c>
      <c r="C104" s="23" t="s">
        <v>199</v>
      </c>
      <c r="D104" s="26">
        <f t="shared" ref="D104" si="52">G104+I104+K104+M104</f>
        <v>21444.2</v>
      </c>
      <c r="E104" s="26">
        <f t="shared" ref="E104" si="53">H104+J104+L104+N104</f>
        <v>5972.3</v>
      </c>
      <c r="F104" s="26">
        <f t="shared" ref="F104" si="54">E104/D104*100</f>
        <v>27.850421092882925</v>
      </c>
      <c r="G104" s="26">
        <v>21229.8</v>
      </c>
      <c r="H104" s="24">
        <v>5912.6</v>
      </c>
      <c r="I104" s="42">
        <v>214.4</v>
      </c>
      <c r="J104" s="24">
        <v>59.7</v>
      </c>
      <c r="K104" s="24">
        <v>0</v>
      </c>
      <c r="L104" s="24">
        <v>0</v>
      </c>
      <c r="M104" s="24">
        <v>0</v>
      </c>
      <c r="N104" s="24">
        <v>0</v>
      </c>
      <c r="O104" s="65" t="s">
        <v>299</v>
      </c>
      <c r="P104" s="67" t="s">
        <v>158</v>
      </c>
      <c r="Q104" s="67" t="s">
        <v>158</v>
      </c>
      <c r="R104" s="23"/>
      <c r="S104" s="23"/>
    </row>
    <row r="105" spans="1:19" s="11" customFormat="1" ht="57" customHeight="1" x14ac:dyDescent="0.25">
      <c r="A105" s="72" t="s">
        <v>60</v>
      </c>
      <c r="B105" s="73"/>
      <c r="C105" s="74"/>
      <c r="D105" s="90"/>
      <c r="E105" s="91"/>
      <c r="F105" s="91"/>
      <c r="G105" s="91"/>
      <c r="H105" s="91"/>
      <c r="I105" s="91"/>
      <c r="J105" s="91"/>
      <c r="K105" s="91"/>
      <c r="L105" s="91"/>
      <c r="M105" s="91"/>
      <c r="N105" s="91"/>
      <c r="O105" s="91"/>
      <c r="P105" s="91"/>
      <c r="Q105" s="91"/>
      <c r="R105" s="91"/>
      <c r="S105" s="92"/>
    </row>
    <row r="106" spans="1:19" s="5" customFormat="1" ht="225" customHeight="1" x14ac:dyDescent="0.25">
      <c r="A106" s="14" t="s">
        <v>200</v>
      </c>
      <c r="B106" s="16" t="s">
        <v>140</v>
      </c>
      <c r="C106" s="23" t="s">
        <v>152</v>
      </c>
      <c r="D106" s="26">
        <f t="shared" ref="D106" si="55">G106+I106+K106+M106</f>
        <v>3177.6000000000004</v>
      </c>
      <c r="E106" s="26">
        <f t="shared" ref="E106" si="56">H106+J106+L106+N106</f>
        <v>642.29999999999995</v>
      </c>
      <c r="F106" s="26">
        <f t="shared" ref="F106" si="57">E106/D106*100</f>
        <v>20.213368580060418</v>
      </c>
      <c r="G106" s="26">
        <v>0</v>
      </c>
      <c r="H106" s="24">
        <v>0</v>
      </c>
      <c r="I106" s="42">
        <v>316.3</v>
      </c>
      <c r="J106" s="24">
        <v>79</v>
      </c>
      <c r="K106" s="24">
        <v>0</v>
      </c>
      <c r="L106" s="24">
        <v>0</v>
      </c>
      <c r="M106" s="63">
        <v>2861.3</v>
      </c>
      <c r="N106" s="63">
        <v>563.29999999999995</v>
      </c>
      <c r="O106" s="65" t="s">
        <v>300</v>
      </c>
      <c r="P106" s="66">
        <v>3000</v>
      </c>
      <c r="Q106" s="66">
        <v>4105</v>
      </c>
      <c r="R106" s="23"/>
      <c r="S106" s="23"/>
    </row>
    <row r="107" spans="1:19" s="11" customFormat="1" ht="57" customHeight="1" x14ac:dyDescent="0.25">
      <c r="A107" s="72" t="s">
        <v>60</v>
      </c>
      <c r="B107" s="73"/>
      <c r="C107" s="74"/>
      <c r="D107" s="90"/>
      <c r="E107" s="91"/>
      <c r="F107" s="91"/>
      <c r="G107" s="91"/>
      <c r="H107" s="91"/>
      <c r="I107" s="91"/>
      <c r="J107" s="91"/>
      <c r="K107" s="91"/>
      <c r="L107" s="91"/>
      <c r="M107" s="91"/>
      <c r="N107" s="91"/>
      <c r="O107" s="91"/>
      <c r="P107" s="91"/>
      <c r="Q107" s="91"/>
      <c r="R107" s="91"/>
      <c r="S107" s="92"/>
    </row>
    <row r="108" spans="1:19" s="5" customFormat="1" ht="114.75" x14ac:dyDescent="0.25">
      <c r="A108" s="14" t="s">
        <v>241</v>
      </c>
      <c r="B108" s="16" t="s">
        <v>242</v>
      </c>
      <c r="C108" s="23" t="s">
        <v>233</v>
      </c>
      <c r="D108" s="26">
        <f t="shared" ref="D108" si="58">G108+I108+K108+M108</f>
        <v>459343.19999999995</v>
      </c>
      <c r="E108" s="26">
        <f t="shared" ref="E108" si="59">H108+J108+L108+N108</f>
        <v>304624</v>
      </c>
      <c r="F108" s="26">
        <f t="shared" ref="F108" si="60">E108/D108*100</f>
        <v>66.317298264130187</v>
      </c>
      <c r="G108" s="26">
        <v>192377.4</v>
      </c>
      <c r="H108" s="42">
        <v>127579.5</v>
      </c>
      <c r="I108" s="42">
        <v>266965.8</v>
      </c>
      <c r="J108" s="42">
        <v>177044.5</v>
      </c>
      <c r="K108" s="24">
        <v>0</v>
      </c>
      <c r="L108" s="24">
        <v>0</v>
      </c>
      <c r="M108" s="24">
        <v>0</v>
      </c>
      <c r="N108" s="24">
        <v>0</v>
      </c>
      <c r="O108" s="65" t="s">
        <v>301</v>
      </c>
      <c r="P108" s="67" t="s">
        <v>158</v>
      </c>
      <c r="Q108" s="67" t="s">
        <v>158</v>
      </c>
      <c r="R108" s="23"/>
      <c r="S108" s="23"/>
    </row>
    <row r="109" spans="1:19" s="11" customFormat="1" ht="57" customHeight="1" x14ac:dyDescent="0.25">
      <c r="A109" s="72" t="s">
        <v>60</v>
      </c>
      <c r="B109" s="73"/>
      <c r="C109" s="74"/>
      <c r="D109" s="90"/>
      <c r="E109" s="91"/>
      <c r="F109" s="91"/>
      <c r="G109" s="91"/>
      <c r="H109" s="91"/>
      <c r="I109" s="91"/>
      <c r="J109" s="91"/>
      <c r="K109" s="91"/>
      <c r="L109" s="91"/>
      <c r="M109" s="91"/>
      <c r="N109" s="91"/>
      <c r="O109" s="91"/>
      <c r="P109" s="91"/>
      <c r="Q109" s="91"/>
      <c r="R109" s="91"/>
      <c r="S109" s="92"/>
    </row>
    <row r="110" spans="1:19" s="5" customFormat="1" ht="153" x14ac:dyDescent="0.25">
      <c r="A110" s="14" t="s">
        <v>243</v>
      </c>
      <c r="B110" s="16" t="s">
        <v>244</v>
      </c>
      <c r="C110" s="23" t="s">
        <v>30</v>
      </c>
      <c r="D110" s="26">
        <f t="shared" ref="D110" si="61">G110+I110+K110+M110</f>
        <v>3000</v>
      </c>
      <c r="E110" s="26">
        <f t="shared" ref="E110" si="62">H110+J110+L110+N110</f>
        <v>0</v>
      </c>
      <c r="F110" s="26">
        <f t="shared" ref="F110" si="63">E110/D110*100</f>
        <v>0</v>
      </c>
      <c r="G110" s="26">
        <v>2760</v>
      </c>
      <c r="H110" s="24">
        <v>0</v>
      </c>
      <c r="I110" s="42">
        <v>240</v>
      </c>
      <c r="J110" s="24">
        <v>0</v>
      </c>
      <c r="K110" s="24">
        <v>0</v>
      </c>
      <c r="L110" s="24">
        <v>0</v>
      </c>
      <c r="M110" s="24">
        <v>0</v>
      </c>
      <c r="N110" s="24">
        <v>0</v>
      </c>
      <c r="O110" s="65" t="s">
        <v>302</v>
      </c>
      <c r="P110" s="67" t="s">
        <v>158</v>
      </c>
      <c r="Q110" s="67" t="s">
        <v>158</v>
      </c>
      <c r="R110" s="23"/>
      <c r="S110" s="23"/>
    </row>
    <row r="111" spans="1:19" s="11" customFormat="1" ht="57" customHeight="1" x14ac:dyDescent="0.25">
      <c r="A111" s="72" t="s">
        <v>60</v>
      </c>
      <c r="B111" s="73"/>
      <c r="C111" s="74"/>
      <c r="D111" s="90"/>
      <c r="E111" s="91"/>
      <c r="F111" s="91"/>
      <c r="G111" s="91"/>
      <c r="H111" s="91"/>
      <c r="I111" s="91"/>
      <c r="J111" s="91"/>
      <c r="K111" s="91"/>
      <c r="L111" s="91"/>
      <c r="M111" s="91"/>
      <c r="N111" s="91"/>
      <c r="O111" s="91"/>
      <c r="P111" s="91"/>
      <c r="Q111" s="91"/>
      <c r="R111" s="91"/>
      <c r="S111" s="92"/>
    </row>
    <row r="112" spans="1:19" s="5" customFormat="1" ht="89.25" x14ac:dyDescent="0.25">
      <c r="A112" s="14" t="s">
        <v>245</v>
      </c>
      <c r="B112" s="16" t="s">
        <v>246</v>
      </c>
      <c r="C112" s="23" t="s">
        <v>247</v>
      </c>
      <c r="D112" s="26">
        <f t="shared" ref="D112" si="64">G112+I112+K112+M112</f>
        <v>927727.7</v>
      </c>
      <c r="E112" s="26">
        <f t="shared" ref="E112" si="65">H112+J112+L112+N112</f>
        <v>716789.71000000008</v>
      </c>
      <c r="F112" s="26">
        <f t="shared" ref="F112" si="66">E112/D112*100</f>
        <v>77.262941485955423</v>
      </c>
      <c r="G112" s="26">
        <v>856013</v>
      </c>
      <c r="H112" s="24">
        <v>661380.80000000005</v>
      </c>
      <c r="I112" s="42">
        <v>71714.7</v>
      </c>
      <c r="J112" s="24">
        <v>55408.91</v>
      </c>
      <c r="K112" s="24">
        <v>0</v>
      </c>
      <c r="L112" s="24">
        <v>0</v>
      </c>
      <c r="M112" s="24">
        <v>0</v>
      </c>
      <c r="N112" s="24">
        <v>0</v>
      </c>
      <c r="O112" s="65" t="s">
        <v>303</v>
      </c>
      <c r="P112" s="67" t="s">
        <v>158</v>
      </c>
      <c r="Q112" s="67" t="s">
        <v>158</v>
      </c>
      <c r="R112" s="23"/>
      <c r="S112" s="23"/>
    </row>
    <row r="113" spans="1:19" s="11" customFormat="1" ht="57" customHeight="1" x14ac:dyDescent="0.25">
      <c r="A113" s="72" t="s">
        <v>60</v>
      </c>
      <c r="B113" s="73"/>
      <c r="C113" s="74"/>
      <c r="D113" s="90"/>
      <c r="E113" s="91"/>
      <c r="F113" s="91"/>
      <c r="G113" s="91"/>
      <c r="H113" s="91"/>
      <c r="I113" s="91"/>
      <c r="J113" s="91"/>
      <c r="K113" s="91"/>
      <c r="L113" s="91"/>
      <c r="M113" s="91"/>
      <c r="N113" s="91"/>
      <c r="O113" s="91"/>
      <c r="P113" s="91"/>
      <c r="Q113" s="91"/>
      <c r="R113" s="91"/>
      <c r="S113" s="92"/>
    </row>
    <row r="114" spans="1:19" s="5" customFormat="1" ht="25.5" x14ac:dyDescent="0.25">
      <c r="A114" s="46" t="s">
        <v>106</v>
      </c>
      <c r="B114" s="15" t="s">
        <v>107</v>
      </c>
      <c r="C114" s="43"/>
      <c r="D114" s="44">
        <f>D116+D118</f>
        <v>44277.2</v>
      </c>
      <c r="E114" s="44">
        <f>E116+E118</f>
        <v>4233.5</v>
      </c>
      <c r="F114" s="44">
        <f>E114/D114*100</f>
        <v>9.5613543765188407</v>
      </c>
      <c r="G114" s="44">
        <f>G116+G118</f>
        <v>43834.400000000001</v>
      </c>
      <c r="H114" s="44">
        <f>H116+H118</f>
        <v>4191.2</v>
      </c>
      <c r="I114" s="44">
        <f t="shared" ref="I114:N114" si="67">I116+I118</f>
        <v>314</v>
      </c>
      <c r="J114" s="44">
        <f t="shared" si="67"/>
        <v>42.3</v>
      </c>
      <c r="K114" s="44">
        <f t="shared" si="67"/>
        <v>128.80000000000001</v>
      </c>
      <c r="L114" s="44">
        <f t="shared" si="67"/>
        <v>0</v>
      </c>
      <c r="M114" s="44">
        <f t="shared" si="67"/>
        <v>0</v>
      </c>
      <c r="N114" s="44">
        <f t="shared" si="67"/>
        <v>0</v>
      </c>
      <c r="O114" s="23"/>
      <c r="P114" s="23"/>
      <c r="Q114" s="23"/>
      <c r="R114" s="23"/>
      <c r="S114" s="23"/>
    </row>
    <row r="115" spans="1:19" s="5" customFormat="1" x14ac:dyDescent="0.25">
      <c r="A115" s="14"/>
      <c r="B115" s="16" t="s">
        <v>38</v>
      </c>
      <c r="C115" s="23"/>
      <c r="D115" s="26"/>
      <c r="E115" s="26"/>
      <c r="F115" s="26"/>
      <c r="G115" s="26"/>
      <c r="H115" s="26"/>
      <c r="I115" s="42"/>
      <c r="J115" s="26"/>
      <c r="K115" s="26"/>
      <c r="L115" s="26"/>
      <c r="M115" s="26"/>
      <c r="N115" s="26"/>
      <c r="O115" s="23"/>
      <c r="P115" s="23"/>
      <c r="Q115" s="23"/>
      <c r="R115" s="23"/>
      <c r="S115" s="23"/>
    </row>
    <row r="116" spans="1:19" s="5" customFormat="1" ht="276.75" customHeight="1" x14ac:dyDescent="0.25">
      <c r="A116" s="14" t="s">
        <v>201</v>
      </c>
      <c r="B116" s="16" t="s">
        <v>202</v>
      </c>
      <c r="C116" s="23" t="s">
        <v>129</v>
      </c>
      <c r="D116" s="42">
        <f t="shared" ref="D116:E116" si="68">G116+I116+K116+M116</f>
        <v>25759.8</v>
      </c>
      <c r="E116" s="42">
        <f t="shared" si="68"/>
        <v>0</v>
      </c>
      <c r="F116" s="42">
        <f t="shared" ref="F116" si="69">E116/D116*100</f>
        <v>0</v>
      </c>
      <c r="G116" s="42">
        <v>25502.2</v>
      </c>
      <c r="H116" s="42">
        <v>0</v>
      </c>
      <c r="I116" s="42">
        <v>128.80000000000001</v>
      </c>
      <c r="J116" s="42">
        <v>0</v>
      </c>
      <c r="K116" s="52">
        <f>I116</f>
        <v>128.80000000000001</v>
      </c>
      <c r="L116" s="52">
        <v>0</v>
      </c>
      <c r="M116" s="52">
        <v>0</v>
      </c>
      <c r="N116" s="52">
        <v>0</v>
      </c>
      <c r="O116" s="67" t="s">
        <v>304</v>
      </c>
      <c r="P116" s="58" t="s">
        <v>158</v>
      </c>
      <c r="Q116" s="58" t="s">
        <v>158</v>
      </c>
      <c r="R116" s="25"/>
      <c r="S116" s="25"/>
    </row>
    <row r="117" spans="1:19" s="11" customFormat="1" ht="57" customHeight="1" x14ac:dyDescent="0.25">
      <c r="A117" s="72" t="s">
        <v>60</v>
      </c>
      <c r="B117" s="73"/>
      <c r="C117" s="74"/>
      <c r="D117" s="78"/>
      <c r="E117" s="79"/>
      <c r="F117" s="79"/>
      <c r="G117" s="79"/>
      <c r="H117" s="79"/>
      <c r="I117" s="79"/>
      <c r="J117" s="79"/>
      <c r="K117" s="79"/>
      <c r="L117" s="79"/>
      <c r="M117" s="79"/>
      <c r="N117" s="79"/>
      <c r="O117" s="79"/>
      <c r="P117" s="79"/>
      <c r="Q117" s="79"/>
      <c r="R117" s="79"/>
      <c r="S117" s="80"/>
    </row>
    <row r="118" spans="1:19" s="5" customFormat="1" ht="127.5" x14ac:dyDescent="0.25">
      <c r="A118" s="14" t="s">
        <v>249</v>
      </c>
      <c r="B118" s="16" t="s">
        <v>248</v>
      </c>
      <c r="C118" s="23" t="s">
        <v>250</v>
      </c>
      <c r="D118" s="26">
        <f t="shared" ref="D118:E118" si="70">G118+I118+K118+M118</f>
        <v>18517.400000000001</v>
      </c>
      <c r="E118" s="26">
        <f t="shared" si="70"/>
        <v>4233.5</v>
      </c>
      <c r="F118" s="26">
        <f t="shared" ref="F118" si="71">E118/D118*100</f>
        <v>22.862280881765258</v>
      </c>
      <c r="G118" s="26">
        <v>18332.2</v>
      </c>
      <c r="H118" s="26">
        <v>4191.2</v>
      </c>
      <c r="I118" s="42">
        <v>185.2</v>
      </c>
      <c r="J118" s="42">
        <v>42.3</v>
      </c>
      <c r="K118" s="24">
        <v>0</v>
      </c>
      <c r="L118" s="24">
        <v>0</v>
      </c>
      <c r="M118" s="24">
        <v>0</v>
      </c>
      <c r="N118" s="24">
        <v>0</v>
      </c>
      <c r="O118" s="65" t="s">
        <v>305</v>
      </c>
      <c r="P118" s="65" t="s">
        <v>158</v>
      </c>
      <c r="Q118" s="65" t="s">
        <v>158</v>
      </c>
      <c r="R118" s="23"/>
      <c r="S118" s="23"/>
    </row>
    <row r="119" spans="1:19" s="11" customFormat="1" ht="66.75" customHeight="1" x14ac:dyDescent="0.25">
      <c r="A119" s="72" t="s">
        <v>60</v>
      </c>
      <c r="B119" s="73"/>
      <c r="C119" s="74"/>
      <c r="D119" s="84"/>
      <c r="E119" s="85"/>
      <c r="F119" s="85"/>
      <c r="G119" s="85"/>
      <c r="H119" s="85"/>
      <c r="I119" s="85"/>
      <c r="J119" s="85"/>
      <c r="K119" s="85"/>
      <c r="L119" s="85"/>
      <c r="M119" s="85"/>
      <c r="N119" s="85"/>
      <c r="O119" s="85"/>
      <c r="P119" s="85"/>
      <c r="Q119" s="85"/>
      <c r="R119" s="85"/>
      <c r="S119" s="86"/>
    </row>
    <row r="120" spans="1:19" s="11" customFormat="1" ht="39.6" hidden="1" x14ac:dyDescent="0.3">
      <c r="A120" s="48" t="s">
        <v>138</v>
      </c>
      <c r="B120" s="49" t="s">
        <v>175</v>
      </c>
      <c r="C120" s="50"/>
      <c r="D120" s="30">
        <f>D122</f>
        <v>0</v>
      </c>
      <c r="E120" s="30">
        <f t="shared" ref="E120:N120" si="72">E122</f>
        <v>0</v>
      </c>
      <c r="F120" s="30" t="e">
        <f t="shared" si="72"/>
        <v>#DIV/0!</v>
      </c>
      <c r="G120" s="30">
        <f t="shared" si="72"/>
        <v>0</v>
      </c>
      <c r="H120" s="30">
        <f t="shared" si="72"/>
        <v>0</v>
      </c>
      <c r="I120" s="53">
        <f t="shared" si="72"/>
        <v>0</v>
      </c>
      <c r="J120" s="30">
        <f t="shared" si="72"/>
        <v>0</v>
      </c>
      <c r="K120" s="30">
        <f t="shared" si="72"/>
        <v>0</v>
      </c>
      <c r="L120" s="30">
        <f t="shared" si="72"/>
        <v>0</v>
      </c>
      <c r="M120" s="30">
        <f t="shared" si="72"/>
        <v>0</v>
      </c>
      <c r="N120" s="30">
        <f t="shared" si="72"/>
        <v>0</v>
      </c>
      <c r="O120" s="47"/>
      <c r="P120" s="47"/>
      <c r="Q120" s="47"/>
      <c r="R120" s="47"/>
      <c r="S120" s="47"/>
    </row>
    <row r="121" spans="1:19" s="11" customFormat="1" ht="13.9" hidden="1" x14ac:dyDescent="0.3">
      <c r="A121" s="33"/>
      <c r="B121" s="51" t="s">
        <v>38</v>
      </c>
      <c r="C121" s="33"/>
      <c r="D121" s="27"/>
      <c r="E121" s="27"/>
      <c r="F121" s="27"/>
      <c r="G121" s="27"/>
      <c r="H121" s="27"/>
      <c r="I121" s="42"/>
      <c r="J121" s="27"/>
      <c r="K121" s="27"/>
      <c r="L121" s="27"/>
      <c r="M121" s="27"/>
      <c r="N121" s="27"/>
      <c r="O121" s="47"/>
      <c r="P121" s="47"/>
      <c r="Q121" s="47"/>
      <c r="R121" s="47"/>
      <c r="S121" s="47"/>
    </row>
    <row r="122" spans="1:19" s="5" customFormat="1" ht="248.25" hidden="1" customHeight="1" x14ac:dyDescent="0.3">
      <c r="A122" s="14" t="s">
        <v>139</v>
      </c>
      <c r="B122" s="16" t="s">
        <v>140</v>
      </c>
      <c r="C122" s="23" t="s">
        <v>155</v>
      </c>
      <c r="D122" s="26">
        <f t="shared" ref="D122:E122" si="73">G122+I122+K122+M122</f>
        <v>0</v>
      </c>
      <c r="E122" s="26">
        <f t="shared" si="73"/>
        <v>0</v>
      </c>
      <c r="F122" s="26" t="e">
        <f t="shared" ref="F122" si="74">E122/D122*100</f>
        <v>#DIV/0!</v>
      </c>
      <c r="G122" s="24">
        <v>0</v>
      </c>
      <c r="H122" s="24">
        <v>0</v>
      </c>
      <c r="I122" s="42"/>
      <c r="J122" s="24"/>
      <c r="K122" s="24">
        <v>0</v>
      </c>
      <c r="L122" s="24">
        <v>0</v>
      </c>
      <c r="M122" s="42"/>
      <c r="N122" s="42"/>
      <c r="O122" s="23" t="s">
        <v>165</v>
      </c>
      <c r="P122" s="25">
        <v>30000</v>
      </c>
      <c r="Q122" s="25">
        <v>30080</v>
      </c>
      <c r="R122" s="23"/>
      <c r="S122" s="23"/>
    </row>
    <row r="123" spans="1:19" s="11" customFormat="1" ht="55.5" hidden="1" customHeight="1" x14ac:dyDescent="0.3">
      <c r="A123" s="72" t="s">
        <v>60</v>
      </c>
      <c r="B123" s="73"/>
      <c r="C123" s="74"/>
      <c r="D123" s="78"/>
      <c r="E123" s="79"/>
      <c r="F123" s="79"/>
      <c r="G123" s="79"/>
      <c r="H123" s="79"/>
      <c r="I123" s="79"/>
      <c r="J123" s="79"/>
      <c r="K123" s="79"/>
      <c r="L123" s="79"/>
      <c r="M123" s="79"/>
      <c r="N123" s="79"/>
      <c r="O123" s="79"/>
      <c r="P123" s="79"/>
      <c r="Q123" s="79"/>
      <c r="R123" s="79"/>
      <c r="S123" s="80"/>
    </row>
    <row r="124" spans="1:19" s="11" customFormat="1" ht="39.6" hidden="1" x14ac:dyDescent="0.3">
      <c r="A124" s="48" t="s">
        <v>130</v>
      </c>
      <c r="B124" s="49" t="s">
        <v>131</v>
      </c>
      <c r="C124" s="50"/>
      <c r="D124" s="30">
        <f>D126</f>
        <v>0</v>
      </c>
      <c r="E124" s="30">
        <f t="shared" ref="E124:N124" si="75">E126</f>
        <v>0</v>
      </c>
      <c r="F124" s="30" t="e">
        <f t="shared" si="75"/>
        <v>#DIV/0!</v>
      </c>
      <c r="G124" s="30">
        <f t="shared" si="75"/>
        <v>0</v>
      </c>
      <c r="H124" s="30">
        <f t="shared" si="75"/>
        <v>0</v>
      </c>
      <c r="I124" s="53">
        <f t="shared" si="75"/>
        <v>0</v>
      </c>
      <c r="J124" s="30">
        <f t="shared" si="75"/>
        <v>0</v>
      </c>
      <c r="K124" s="30">
        <f t="shared" si="75"/>
        <v>0</v>
      </c>
      <c r="L124" s="30">
        <f t="shared" si="75"/>
        <v>0</v>
      </c>
      <c r="M124" s="30">
        <f t="shared" si="75"/>
        <v>0</v>
      </c>
      <c r="N124" s="30">
        <f t="shared" si="75"/>
        <v>0</v>
      </c>
      <c r="O124" s="47"/>
      <c r="P124" s="47"/>
      <c r="Q124" s="47"/>
      <c r="R124" s="47"/>
      <c r="S124" s="47"/>
    </row>
    <row r="125" spans="1:19" s="11" customFormat="1" ht="13.9" hidden="1" x14ac:dyDescent="0.3">
      <c r="A125" s="33"/>
      <c r="B125" s="51" t="s">
        <v>38</v>
      </c>
      <c r="C125" s="33"/>
      <c r="D125" s="27"/>
      <c r="E125" s="27"/>
      <c r="F125" s="27"/>
      <c r="G125" s="27"/>
      <c r="H125" s="27"/>
      <c r="I125" s="42"/>
      <c r="J125" s="27"/>
      <c r="K125" s="27"/>
      <c r="L125" s="27"/>
      <c r="M125" s="27"/>
      <c r="N125" s="27"/>
      <c r="O125" s="47"/>
      <c r="P125" s="47"/>
      <c r="Q125" s="47"/>
      <c r="R125" s="47"/>
      <c r="S125" s="47"/>
    </row>
    <row r="126" spans="1:19" s="5" customFormat="1" ht="237.75" hidden="1" customHeight="1" x14ac:dyDescent="0.3">
      <c r="A126" s="14" t="s">
        <v>133</v>
      </c>
      <c r="B126" s="16" t="s">
        <v>132</v>
      </c>
      <c r="C126" s="23" t="s">
        <v>156</v>
      </c>
      <c r="D126" s="26">
        <f t="shared" ref="D126:E126" si="76">G126+I126+K126+M126</f>
        <v>0</v>
      </c>
      <c r="E126" s="26">
        <f t="shared" si="76"/>
        <v>0</v>
      </c>
      <c r="F126" s="26" t="e">
        <f t="shared" ref="F126" si="77">E126/D126*100</f>
        <v>#DIV/0!</v>
      </c>
      <c r="G126" s="24">
        <v>0</v>
      </c>
      <c r="H126" s="24">
        <v>0</v>
      </c>
      <c r="I126" s="42"/>
      <c r="J126" s="24"/>
      <c r="K126" s="24"/>
      <c r="L126" s="24"/>
      <c r="M126" s="42"/>
      <c r="N126" s="52"/>
      <c r="O126" s="25" t="s">
        <v>176</v>
      </c>
      <c r="P126" s="25">
        <v>2</v>
      </c>
      <c r="Q126" s="25">
        <v>4</v>
      </c>
      <c r="R126" s="23"/>
      <c r="S126" s="23"/>
    </row>
    <row r="127" spans="1:19" s="11" customFormat="1" ht="63.75" hidden="1" customHeight="1" x14ac:dyDescent="0.3">
      <c r="A127" s="72" t="s">
        <v>60</v>
      </c>
      <c r="B127" s="73"/>
      <c r="C127" s="74"/>
      <c r="D127" s="84"/>
      <c r="E127" s="85"/>
      <c r="F127" s="85"/>
      <c r="G127" s="85"/>
      <c r="H127" s="85"/>
      <c r="I127" s="85"/>
      <c r="J127" s="85"/>
      <c r="K127" s="85"/>
      <c r="L127" s="85"/>
      <c r="M127" s="85"/>
      <c r="N127" s="85"/>
      <c r="O127" s="85"/>
      <c r="P127" s="85"/>
      <c r="Q127" s="85"/>
      <c r="R127" s="85"/>
      <c r="S127" s="86"/>
    </row>
    <row r="128" spans="1:19" s="5" customFormat="1" x14ac:dyDescent="0.25">
      <c r="A128" s="14"/>
      <c r="B128" s="43" t="s">
        <v>53</v>
      </c>
      <c r="C128" s="43"/>
      <c r="D128" s="44">
        <f>G128+I128+K128+M128</f>
        <v>15432711.851086956</v>
      </c>
      <c r="E128" s="44">
        <f>H128+J128+L128+N128</f>
        <v>8458664.0427173935</v>
      </c>
      <c r="F128" s="44">
        <f>E128/D128*100</f>
        <v>54.80996550921563</v>
      </c>
      <c r="G128" s="44">
        <f t="shared" ref="G128:N128" si="78">G12+G24+G68+G78+G96+G114+G124+G120</f>
        <v>3042328.1</v>
      </c>
      <c r="H128" s="44">
        <f t="shared" si="78"/>
        <v>1732985.73</v>
      </c>
      <c r="I128" s="44">
        <f t="shared" si="78"/>
        <v>12359935.699999999</v>
      </c>
      <c r="J128" s="44">
        <f t="shared" si="78"/>
        <v>6711786.4600000009</v>
      </c>
      <c r="K128" s="44">
        <f t="shared" si="78"/>
        <v>27586.751086956519</v>
      </c>
      <c r="L128" s="44">
        <f t="shared" si="78"/>
        <v>13328.552717391305</v>
      </c>
      <c r="M128" s="44">
        <f t="shared" si="78"/>
        <v>2861.3</v>
      </c>
      <c r="N128" s="44">
        <f t="shared" si="78"/>
        <v>563.29999999999995</v>
      </c>
      <c r="O128" s="23"/>
      <c r="P128" s="23"/>
      <c r="Q128" s="23"/>
      <c r="R128" s="23"/>
      <c r="S128" s="23"/>
    </row>
    <row r="129" spans="1:19" s="5" customFormat="1" ht="79.5" customHeight="1" x14ac:dyDescent="0.25">
      <c r="A129" s="14" t="s">
        <v>45</v>
      </c>
      <c r="B129" s="15" t="s">
        <v>44</v>
      </c>
      <c r="C129" s="43"/>
      <c r="D129" s="44"/>
      <c r="E129" s="44"/>
      <c r="F129" s="44"/>
      <c r="G129" s="44"/>
      <c r="H129" s="44"/>
      <c r="I129" s="53"/>
      <c r="J129" s="44"/>
      <c r="K129" s="44"/>
      <c r="L129" s="44"/>
      <c r="M129" s="44"/>
      <c r="N129" s="44"/>
      <c r="O129" s="23"/>
      <c r="P129" s="23"/>
      <c r="Q129" s="23"/>
      <c r="R129" s="23"/>
      <c r="S129" s="23"/>
    </row>
    <row r="130" spans="1:19" s="5" customFormat="1" ht="168.75" customHeight="1" x14ac:dyDescent="0.25">
      <c r="A130" s="14" t="s">
        <v>46</v>
      </c>
      <c r="B130" s="15" t="s">
        <v>47</v>
      </c>
      <c r="C130" s="43"/>
      <c r="D130" s="44">
        <f>G130+I130+K130+M130</f>
        <v>1482471.9</v>
      </c>
      <c r="E130" s="44">
        <f>H130+J130+L130+N130</f>
        <v>819003.32</v>
      </c>
      <c r="F130" s="44">
        <f>E130/D130*100</f>
        <v>55.245790493566858</v>
      </c>
      <c r="G130" s="44">
        <f>G132+G134+G136+G138+G140+G148+G150+G152+G154</f>
        <v>69617.2</v>
      </c>
      <c r="H130" s="44">
        <f t="shared" ref="H130:N130" si="79">H132+H134+H136+H138+H140+H148+H150+H152+H154</f>
        <v>40395.760000000002</v>
      </c>
      <c r="I130" s="44">
        <f t="shared" si="79"/>
        <v>1412854.7</v>
      </c>
      <c r="J130" s="44">
        <f t="shared" si="79"/>
        <v>778607.55999999994</v>
      </c>
      <c r="K130" s="44">
        <f t="shared" si="79"/>
        <v>0</v>
      </c>
      <c r="L130" s="44">
        <f t="shared" si="79"/>
        <v>0</v>
      </c>
      <c r="M130" s="44">
        <f t="shared" si="79"/>
        <v>0</v>
      </c>
      <c r="N130" s="44">
        <f t="shared" si="79"/>
        <v>0</v>
      </c>
      <c r="O130" s="23"/>
      <c r="P130" s="23"/>
      <c r="Q130" s="23"/>
      <c r="R130" s="23"/>
      <c r="S130" s="23"/>
    </row>
    <row r="131" spans="1:19" s="5" customFormat="1" x14ac:dyDescent="0.25">
      <c r="A131" s="14"/>
      <c r="B131" s="16" t="s">
        <v>38</v>
      </c>
      <c r="C131" s="23"/>
      <c r="D131" s="26"/>
      <c r="E131" s="26"/>
      <c r="F131" s="26"/>
      <c r="G131" s="26"/>
      <c r="H131" s="26"/>
      <c r="I131" s="42"/>
      <c r="J131" s="26"/>
      <c r="K131" s="26"/>
      <c r="L131" s="26"/>
      <c r="M131" s="26"/>
      <c r="N131" s="26"/>
      <c r="O131" s="23"/>
      <c r="P131" s="23"/>
      <c r="Q131" s="23"/>
      <c r="R131" s="23"/>
      <c r="S131" s="23"/>
    </row>
    <row r="132" spans="1:19" s="5" customFormat="1" ht="151.9" customHeight="1" x14ac:dyDescent="0.25">
      <c r="A132" s="14" t="s">
        <v>108</v>
      </c>
      <c r="B132" s="16" t="s">
        <v>109</v>
      </c>
      <c r="C132" s="23" t="s">
        <v>153</v>
      </c>
      <c r="D132" s="26">
        <f t="shared" si="4"/>
        <v>1085484.7</v>
      </c>
      <c r="E132" s="26">
        <f t="shared" si="4"/>
        <v>620861.4</v>
      </c>
      <c r="F132" s="26">
        <f t="shared" si="10"/>
        <v>57.196697475330616</v>
      </c>
      <c r="G132" s="24">
        <v>0</v>
      </c>
      <c r="H132" s="24">
        <v>0</v>
      </c>
      <c r="I132" s="42">
        <v>1085484.7</v>
      </c>
      <c r="J132" s="42">
        <v>620861.4</v>
      </c>
      <c r="K132" s="24">
        <v>0</v>
      </c>
      <c r="L132" s="24">
        <v>0</v>
      </c>
      <c r="M132" s="24">
        <v>0</v>
      </c>
      <c r="N132" s="24">
        <v>0</v>
      </c>
      <c r="O132" s="65" t="s">
        <v>271</v>
      </c>
      <c r="P132" s="65">
        <v>16</v>
      </c>
      <c r="Q132" s="67">
        <v>16</v>
      </c>
      <c r="R132" s="33"/>
      <c r="S132" s="33"/>
    </row>
    <row r="133" spans="1:19" s="11" customFormat="1" ht="61.5" customHeight="1" x14ac:dyDescent="0.25">
      <c r="A133" s="72" t="s">
        <v>60</v>
      </c>
      <c r="B133" s="73"/>
      <c r="C133" s="74"/>
      <c r="D133" s="84"/>
      <c r="E133" s="85"/>
      <c r="F133" s="85"/>
      <c r="G133" s="85"/>
      <c r="H133" s="85"/>
      <c r="I133" s="85"/>
      <c r="J133" s="85"/>
      <c r="K133" s="85"/>
      <c r="L133" s="85"/>
      <c r="M133" s="85"/>
      <c r="N133" s="85"/>
      <c r="O133" s="85"/>
      <c r="P133" s="85"/>
      <c r="Q133" s="85"/>
      <c r="R133" s="85"/>
      <c r="S133" s="86"/>
    </row>
    <row r="134" spans="1:19" s="5" customFormat="1" ht="153" customHeight="1" x14ac:dyDescent="0.25">
      <c r="A134" s="14" t="s">
        <v>141</v>
      </c>
      <c r="B134" s="16" t="s">
        <v>142</v>
      </c>
      <c r="C134" s="23" t="s">
        <v>153</v>
      </c>
      <c r="D134" s="42">
        <f t="shared" ref="D134:E134" si="80">G134+I134+K134+M134</f>
        <v>5000</v>
      </c>
      <c r="E134" s="42">
        <f t="shared" si="80"/>
        <v>3268.5</v>
      </c>
      <c r="F134" s="42">
        <f t="shared" ref="F134" si="81">E134/D134*100</f>
        <v>65.36999999999999</v>
      </c>
      <c r="G134" s="52">
        <v>0</v>
      </c>
      <c r="H134" s="52">
        <v>0</v>
      </c>
      <c r="I134" s="42">
        <v>5000</v>
      </c>
      <c r="J134" s="42">
        <v>3268.5</v>
      </c>
      <c r="K134" s="52">
        <v>0</v>
      </c>
      <c r="L134" s="52">
        <v>0</v>
      </c>
      <c r="M134" s="52">
        <v>0</v>
      </c>
      <c r="N134" s="52">
        <v>0</v>
      </c>
      <c r="O134" s="67" t="s">
        <v>306</v>
      </c>
      <c r="P134" s="66">
        <v>4</v>
      </c>
      <c r="Q134" s="66">
        <v>4</v>
      </c>
      <c r="R134" s="25"/>
      <c r="S134" s="25"/>
    </row>
    <row r="135" spans="1:19" s="11" customFormat="1" ht="65.25" customHeight="1" x14ac:dyDescent="0.25">
      <c r="A135" s="72" t="s">
        <v>60</v>
      </c>
      <c r="B135" s="73"/>
      <c r="C135" s="74"/>
      <c r="D135" s="78"/>
      <c r="E135" s="79"/>
      <c r="F135" s="79"/>
      <c r="G135" s="79"/>
      <c r="H135" s="79"/>
      <c r="I135" s="79"/>
      <c r="J135" s="79"/>
      <c r="K135" s="79"/>
      <c r="L135" s="79"/>
      <c r="M135" s="79"/>
      <c r="N135" s="79"/>
      <c r="O135" s="79"/>
      <c r="P135" s="79"/>
      <c r="Q135" s="79"/>
      <c r="R135" s="79"/>
      <c r="S135" s="80"/>
    </row>
    <row r="136" spans="1:19" s="5" customFormat="1" ht="153" customHeight="1" x14ac:dyDescent="0.25">
      <c r="A136" s="14" t="s">
        <v>177</v>
      </c>
      <c r="B136" s="16" t="s">
        <v>178</v>
      </c>
      <c r="C136" s="23" t="s">
        <v>153</v>
      </c>
      <c r="D136" s="42">
        <f t="shared" ref="D136" si="82">G136+I136+K136+M136</f>
        <v>12509.4</v>
      </c>
      <c r="E136" s="42">
        <f t="shared" ref="E136" si="83">H136+J136+L136+N136</f>
        <v>5180</v>
      </c>
      <c r="F136" s="42">
        <f t="shared" ref="F136" si="84">E136/D136*100</f>
        <v>41.408860536876269</v>
      </c>
      <c r="G136" s="52">
        <v>0</v>
      </c>
      <c r="H136" s="52">
        <v>0</v>
      </c>
      <c r="I136" s="42">
        <v>12509.4</v>
      </c>
      <c r="J136" s="42">
        <v>5180</v>
      </c>
      <c r="K136" s="52">
        <v>0</v>
      </c>
      <c r="L136" s="52">
        <v>0</v>
      </c>
      <c r="M136" s="52">
        <v>0</v>
      </c>
      <c r="N136" s="52">
        <v>0</v>
      </c>
      <c r="O136" s="67" t="s">
        <v>307</v>
      </c>
      <c r="P136" s="67">
        <v>2</v>
      </c>
      <c r="Q136" s="67">
        <v>2</v>
      </c>
      <c r="R136" s="25"/>
      <c r="S136" s="25"/>
    </row>
    <row r="137" spans="1:19" s="11" customFormat="1" ht="65.25" customHeight="1" x14ac:dyDescent="0.25">
      <c r="A137" s="72" t="s">
        <v>60</v>
      </c>
      <c r="B137" s="73"/>
      <c r="C137" s="74"/>
      <c r="D137" s="78"/>
      <c r="E137" s="79"/>
      <c r="F137" s="79"/>
      <c r="G137" s="79"/>
      <c r="H137" s="79"/>
      <c r="I137" s="79"/>
      <c r="J137" s="79"/>
      <c r="K137" s="79"/>
      <c r="L137" s="79"/>
      <c r="M137" s="79"/>
      <c r="N137" s="79"/>
      <c r="O137" s="79"/>
      <c r="P137" s="79"/>
      <c r="Q137" s="79"/>
      <c r="R137" s="79"/>
      <c r="S137" s="80"/>
    </row>
    <row r="138" spans="1:19" s="5" customFormat="1" ht="153" customHeight="1" x14ac:dyDescent="0.25">
      <c r="A138" s="14" t="s">
        <v>204</v>
      </c>
      <c r="B138" s="16" t="s">
        <v>203</v>
      </c>
      <c r="C138" s="23" t="s">
        <v>153</v>
      </c>
      <c r="D138" s="42">
        <f t="shared" ref="D138" si="85">G138+I138+K138+M138</f>
        <v>17024.5</v>
      </c>
      <c r="E138" s="42">
        <f t="shared" ref="E138" si="86">H138+J138+L138+N138</f>
        <v>8492.2000000000007</v>
      </c>
      <c r="F138" s="42">
        <f t="shared" ref="F138" si="87">E138/D138*100</f>
        <v>49.882228552967781</v>
      </c>
      <c r="G138" s="52">
        <v>0</v>
      </c>
      <c r="H138" s="52">
        <v>0</v>
      </c>
      <c r="I138" s="42">
        <v>17024.5</v>
      </c>
      <c r="J138" s="42">
        <v>8492.2000000000007</v>
      </c>
      <c r="K138" s="52">
        <v>0</v>
      </c>
      <c r="L138" s="52">
        <v>0</v>
      </c>
      <c r="M138" s="52">
        <v>0</v>
      </c>
      <c r="N138" s="52">
        <v>0</v>
      </c>
      <c r="O138" s="67" t="s">
        <v>271</v>
      </c>
      <c r="P138" s="67">
        <v>1</v>
      </c>
      <c r="Q138" s="67">
        <v>1</v>
      </c>
      <c r="R138" s="25"/>
      <c r="S138" s="25"/>
    </row>
    <row r="139" spans="1:19" s="11" customFormat="1" ht="65.25" customHeight="1" x14ac:dyDescent="0.25">
      <c r="A139" s="72" t="s">
        <v>60</v>
      </c>
      <c r="B139" s="73"/>
      <c r="C139" s="74"/>
      <c r="D139" s="78"/>
      <c r="E139" s="79"/>
      <c r="F139" s="79"/>
      <c r="G139" s="79"/>
      <c r="H139" s="79"/>
      <c r="I139" s="79"/>
      <c r="J139" s="79"/>
      <c r="K139" s="79"/>
      <c r="L139" s="79"/>
      <c r="M139" s="79"/>
      <c r="N139" s="79"/>
      <c r="O139" s="79"/>
      <c r="P139" s="79"/>
      <c r="Q139" s="79"/>
      <c r="R139" s="79"/>
      <c r="S139" s="80"/>
    </row>
    <row r="140" spans="1:19" s="5" customFormat="1" ht="256.89999999999998" customHeight="1" x14ac:dyDescent="0.25">
      <c r="A140" s="14" t="s">
        <v>206</v>
      </c>
      <c r="B140" s="16" t="s">
        <v>205</v>
      </c>
      <c r="C140" s="23" t="s">
        <v>153</v>
      </c>
      <c r="D140" s="42">
        <f t="shared" ref="D140" si="88">G140+I140+K140+M140</f>
        <v>30436.5</v>
      </c>
      <c r="E140" s="42">
        <f t="shared" ref="E140" si="89">H140+J140+L140+N140</f>
        <v>18144.57</v>
      </c>
      <c r="F140" s="42">
        <f t="shared" ref="F140" si="90">E140/D140*100</f>
        <v>59.614508895569465</v>
      </c>
      <c r="G140" s="52">
        <v>0</v>
      </c>
      <c r="H140" s="52">
        <v>0</v>
      </c>
      <c r="I140" s="42">
        <v>30436.5</v>
      </c>
      <c r="J140" s="42">
        <v>18144.57</v>
      </c>
      <c r="K140" s="52">
        <v>0</v>
      </c>
      <c r="L140" s="52">
        <v>0</v>
      </c>
      <c r="M140" s="52">
        <v>0</v>
      </c>
      <c r="N140" s="52">
        <v>0</v>
      </c>
      <c r="O140" s="67" t="s">
        <v>281</v>
      </c>
      <c r="P140" s="67">
        <v>100</v>
      </c>
      <c r="Q140" s="67">
        <v>100</v>
      </c>
      <c r="R140" s="25"/>
      <c r="S140" s="25"/>
    </row>
    <row r="141" spans="1:19" s="11" customFormat="1" ht="65.25" customHeight="1" x14ac:dyDescent="0.25">
      <c r="A141" s="72" t="s">
        <v>60</v>
      </c>
      <c r="B141" s="73"/>
      <c r="C141" s="74"/>
      <c r="D141" s="78"/>
      <c r="E141" s="79"/>
      <c r="F141" s="79"/>
      <c r="G141" s="79"/>
      <c r="H141" s="79"/>
      <c r="I141" s="79"/>
      <c r="J141" s="79"/>
      <c r="K141" s="79"/>
      <c r="L141" s="79"/>
      <c r="M141" s="79"/>
      <c r="N141" s="79"/>
      <c r="O141" s="79"/>
      <c r="P141" s="79"/>
      <c r="Q141" s="79"/>
      <c r="R141" s="79"/>
      <c r="S141" s="80"/>
    </row>
    <row r="142" spans="1:19" s="5" customFormat="1" ht="26.45" hidden="1" x14ac:dyDescent="0.3">
      <c r="A142" s="46" t="s">
        <v>110</v>
      </c>
      <c r="B142" s="15" t="s">
        <v>111</v>
      </c>
      <c r="C142" s="43"/>
      <c r="D142" s="44">
        <f>D144+D146</f>
        <v>0</v>
      </c>
      <c r="E142" s="44">
        <f>E144+E146</f>
        <v>0</v>
      </c>
      <c r="F142" s="44" t="e">
        <f>E142/D142*100</f>
        <v>#DIV/0!</v>
      </c>
      <c r="G142" s="44">
        <f t="shared" ref="G142:N142" si="91">G144+G146</f>
        <v>0</v>
      </c>
      <c r="H142" s="44">
        <f t="shared" si="91"/>
        <v>0</v>
      </c>
      <c r="I142" s="53">
        <f t="shared" si="91"/>
        <v>0</v>
      </c>
      <c r="J142" s="44">
        <f t="shared" si="91"/>
        <v>0</v>
      </c>
      <c r="K142" s="44">
        <f t="shared" si="91"/>
        <v>0</v>
      </c>
      <c r="L142" s="44">
        <f t="shared" si="91"/>
        <v>0</v>
      </c>
      <c r="M142" s="44">
        <f t="shared" si="91"/>
        <v>0</v>
      </c>
      <c r="N142" s="44">
        <f t="shared" si="91"/>
        <v>0</v>
      </c>
      <c r="O142" s="23"/>
      <c r="P142" s="23"/>
      <c r="Q142" s="23"/>
      <c r="R142" s="23"/>
      <c r="S142" s="23"/>
    </row>
    <row r="143" spans="1:19" s="5" customFormat="1" ht="13.9" hidden="1" x14ac:dyDescent="0.3">
      <c r="A143" s="14"/>
      <c r="B143" s="16" t="s">
        <v>38</v>
      </c>
      <c r="C143" s="23"/>
      <c r="D143" s="26"/>
      <c r="E143" s="26"/>
      <c r="F143" s="26"/>
      <c r="G143" s="26"/>
      <c r="H143" s="26"/>
      <c r="I143" s="42"/>
      <c r="J143" s="26"/>
      <c r="K143" s="26"/>
      <c r="L143" s="26"/>
      <c r="M143" s="26"/>
      <c r="N143" s="26"/>
      <c r="O143" s="23"/>
      <c r="P143" s="23"/>
      <c r="Q143" s="23"/>
      <c r="R143" s="23"/>
      <c r="S143" s="23"/>
    </row>
    <row r="144" spans="1:19" s="5" customFormat="1" ht="197.25" hidden="1" customHeight="1" x14ac:dyDescent="0.3">
      <c r="A144" s="14" t="s">
        <v>112</v>
      </c>
      <c r="B144" s="16" t="s">
        <v>166</v>
      </c>
      <c r="C144" s="23" t="s">
        <v>143</v>
      </c>
      <c r="D144" s="26">
        <f t="shared" ref="D144:E144" si="92">G144+I144+K144+M144</f>
        <v>0</v>
      </c>
      <c r="E144" s="26">
        <f t="shared" si="92"/>
        <v>0</v>
      </c>
      <c r="F144" s="26" t="e">
        <f t="shared" ref="F144" si="93">E144/D144*100</f>
        <v>#DIV/0!</v>
      </c>
      <c r="G144" s="24">
        <v>0</v>
      </c>
      <c r="H144" s="24">
        <v>0</v>
      </c>
      <c r="I144" s="42"/>
      <c r="J144" s="24"/>
      <c r="K144" s="24">
        <v>0</v>
      </c>
      <c r="L144" s="24">
        <v>0</v>
      </c>
      <c r="M144" s="24">
        <v>0</v>
      </c>
      <c r="N144" s="24">
        <v>0</v>
      </c>
      <c r="O144" s="23" t="s">
        <v>167</v>
      </c>
      <c r="P144" s="25">
        <v>70</v>
      </c>
      <c r="Q144" s="25">
        <v>70</v>
      </c>
      <c r="R144" s="33"/>
      <c r="S144" s="33"/>
    </row>
    <row r="145" spans="1:19" s="11" customFormat="1" ht="65.25" hidden="1" customHeight="1" x14ac:dyDescent="0.3">
      <c r="A145" s="72" t="s">
        <v>60</v>
      </c>
      <c r="B145" s="73"/>
      <c r="C145" s="74"/>
      <c r="D145" s="78"/>
      <c r="E145" s="79"/>
      <c r="F145" s="79"/>
      <c r="G145" s="79"/>
      <c r="H145" s="79"/>
      <c r="I145" s="79"/>
      <c r="J145" s="79"/>
      <c r="K145" s="79"/>
      <c r="L145" s="79"/>
      <c r="M145" s="79"/>
      <c r="N145" s="79"/>
      <c r="O145" s="79"/>
      <c r="P145" s="79"/>
      <c r="Q145" s="79"/>
      <c r="R145" s="79"/>
      <c r="S145" s="80"/>
    </row>
    <row r="146" spans="1:19" s="5" customFormat="1" ht="231.75" hidden="1" customHeight="1" x14ac:dyDescent="0.3">
      <c r="A146" s="14" t="s">
        <v>113</v>
      </c>
      <c r="B146" s="16" t="s">
        <v>168</v>
      </c>
      <c r="C146" s="23" t="s">
        <v>116</v>
      </c>
      <c r="D146" s="26">
        <f t="shared" ref="D146:E146" si="94">G146+I146+K146+M146</f>
        <v>0</v>
      </c>
      <c r="E146" s="26">
        <f t="shared" si="94"/>
        <v>0</v>
      </c>
      <c r="F146" s="26" t="e">
        <f t="shared" ref="F146" si="95">E146/D146*100</f>
        <v>#DIV/0!</v>
      </c>
      <c r="G146" s="26">
        <v>0</v>
      </c>
      <c r="H146" s="26">
        <v>0</v>
      </c>
      <c r="I146" s="42"/>
      <c r="J146" s="26"/>
      <c r="K146" s="26">
        <v>0</v>
      </c>
      <c r="L146" s="26">
        <v>0</v>
      </c>
      <c r="M146" s="26">
        <v>0</v>
      </c>
      <c r="N146" s="26">
        <v>0</v>
      </c>
      <c r="O146" s="23" t="s">
        <v>179</v>
      </c>
      <c r="P146" s="25" t="s">
        <v>187</v>
      </c>
      <c r="Q146" s="25" t="s">
        <v>187</v>
      </c>
      <c r="R146" s="33"/>
      <c r="S146" s="33"/>
    </row>
    <row r="147" spans="1:19" s="11" customFormat="1" ht="58.5" hidden="1" customHeight="1" x14ac:dyDescent="0.3">
      <c r="A147" s="72" t="s">
        <v>60</v>
      </c>
      <c r="B147" s="73"/>
      <c r="C147" s="74"/>
      <c r="D147" s="78"/>
      <c r="E147" s="79"/>
      <c r="F147" s="79"/>
      <c r="G147" s="79"/>
      <c r="H147" s="79"/>
      <c r="I147" s="79"/>
      <c r="J147" s="79"/>
      <c r="K147" s="79"/>
      <c r="L147" s="79"/>
      <c r="M147" s="79"/>
      <c r="N147" s="79"/>
      <c r="O147" s="79"/>
      <c r="P147" s="79"/>
      <c r="Q147" s="79"/>
      <c r="R147" s="79"/>
      <c r="S147" s="80"/>
    </row>
    <row r="148" spans="1:19" s="5" customFormat="1" ht="165.75" x14ac:dyDescent="0.25">
      <c r="A148" s="14" t="s">
        <v>218</v>
      </c>
      <c r="B148" s="16" t="s">
        <v>223</v>
      </c>
      <c r="C148" s="23" t="s">
        <v>153</v>
      </c>
      <c r="D148" s="42">
        <f t="shared" ref="D148" si="96">G148+I148+K148+M148</f>
        <v>167574.20000000001</v>
      </c>
      <c r="E148" s="42">
        <f t="shared" ref="E148" si="97">H148+J148+L148+N148</f>
        <v>74978.5</v>
      </c>
      <c r="F148" s="42">
        <f t="shared" ref="F148" si="98">E148/D148*100</f>
        <v>44.743462895839571</v>
      </c>
      <c r="G148" s="52">
        <v>0</v>
      </c>
      <c r="H148" s="52">
        <v>0</v>
      </c>
      <c r="I148" s="27">
        <v>167574.20000000001</v>
      </c>
      <c r="J148" s="27">
        <f>19595.2+55383.3</f>
        <v>74978.5</v>
      </c>
      <c r="K148" s="52">
        <v>0</v>
      </c>
      <c r="L148" s="52">
        <v>0</v>
      </c>
      <c r="M148" s="52">
        <v>0</v>
      </c>
      <c r="N148" s="52">
        <v>0</v>
      </c>
      <c r="O148" s="67" t="s">
        <v>341</v>
      </c>
      <c r="P148" s="67">
        <v>100</v>
      </c>
      <c r="Q148" s="67">
        <v>100</v>
      </c>
      <c r="R148" s="25"/>
      <c r="S148" s="25"/>
    </row>
    <row r="149" spans="1:19" s="11" customFormat="1" ht="65.25" customHeight="1" x14ac:dyDescent="0.25">
      <c r="A149" s="72" t="s">
        <v>60</v>
      </c>
      <c r="B149" s="73"/>
      <c r="C149" s="74"/>
      <c r="D149" s="75"/>
      <c r="E149" s="76"/>
      <c r="F149" s="76"/>
      <c r="G149" s="76"/>
      <c r="H149" s="76"/>
      <c r="I149" s="76"/>
      <c r="J149" s="76"/>
      <c r="K149" s="76"/>
      <c r="L149" s="76"/>
      <c r="M149" s="76"/>
      <c r="N149" s="76"/>
      <c r="O149" s="76"/>
      <c r="P149" s="76"/>
      <c r="Q149" s="76"/>
      <c r="R149" s="76"/>
      <c r="S149" s="77"/>
    </row>
    <row r="150" spans="1:19" s="5" customFormat="1" ht="318.75" x14ac:dyDescent="0.25">
      <c r="A150" s="14" t="s">
        <v>219</v>
      </c>
      <c r="B150" s="16" t="s">
        <v>220</v>
      </c>
      <c r="C150" s="23" t="s">
        <v>153</v>
      </c>
      <c r="D150" s="42">
        <f t="shared" ref="D150" si="99">G150+I150+K150+M150</f>
        <v>84377.799999999988</v>
      </c>
      <c r="E150" s="42">
        <f t="shared" ref="E150" si="100">H150+J150+L150+N150</f>
        <v>39815.99</v>
      </c>
      <c r="F150" s="42">
        <f t="shared" ref="F150" si="101">E150/D150*100</f>
        <v>47.187755547075184</v>
      </c>
      <c r="G150" s="52">
        <v>0</v>
      </c>
      <c r="H150" s="52">
        <v>0</v>
      </c>
      <c r="I150" s="27">
        <v>84377.799999999988</v>
      </c>
      <c r="J150" s="27">
        <f>6910.1+2098.94+634.45+26147.9+3091.5+933.1</f>
        <v>39815.99</v>
      </c>
      <c r="K150" s="52">
        <v>0</v>
      </c>
      <c r="L150" s="52">
        <v>0</v>
      </c>
      <c r="M150" s="52">
        <v>0</v>
      </c>
      <c r="N150" s="52">
        <v>0</v>
      </c>
      <c r="O150" s="67" t="s">
        <v>308</v>
      </c>
      <c r="P150" s="67">
        <v>100</v>
      </c>
      <c r="Q150" s="67">
        <v>100</v>
      </c>
      <c r="R150" s="25"/>
      <c r="S150" s="25"/>
    </row>
    <row r="151" spans="1:19" s="11" customFormat="1" ht="65.25" customHeight="1" x14ac:dyDescent="0.25">
      <c r="A151" s="72" t="s">
        <v>60</v>
      </c>
      <c r="B151" s="73"/>
      <c r="C151" s="74"/>
      <c r="D151" s="75"/>
      <c r="E151" s="76"/>
      <c r="F151" s="76"/>
      <c r="G151" s="76"/>
      <c r="H151" s="76"/>
      <c r="I151" s="76"/>
      <c r="J151" s="76"/>
      <c r="K151" s="76"/>
      <c r="L151" s="76"/>
      <c r="M151" s="76"/>
      <c r="N151" s="76"/>
      <c r="O151" s="76"/>
      <c r="P151" s="76"/>
      <c r="Q151" s="76"/>
      <c r="R151" s="76"/>
      <c r="S151" s="77"/>
    </row>
    <row r="152" spans="1:19" s="5" customFormat="1" ht="127.5" x14ac:dyDescent="0.25">
      <c r="A152" s="14" t="s">
        <v>221</v>
      </c>
      <c r="B152" s="16" t="s">
        <v>222</v>
      </c>
      <c r="C152" s="23" t="s">
        <v>153</v>
      </c>
      <c r="D152" s="42">
        <f t="shared" ref="D152" si="102">G152+I152+K152+M152</f>
        <v>10447.6</v>
      </c>
      <c r="E152" s="42">
        <f t="shared" ref="E152" si="103">H152+J152+L152+N152</f>
        <v>7866.4</v>
      </c>
      <c r="F152" s="42">
        <f t="shared" ref="F152" si="104">E152/D152*100</f>
        <v>75.293847390788301</v>
      </c>
      <c r="G152" s="52">
        <v>0</v>
      </c>
      <c r="H152" s="52">
        <v>0</v>
      </c>
      <c r="I152" s="42">
        <v>10447.6</v>
      </c>
      <c r="J152" s="42">
        <v>7866.4</v>
      </c>
      <c r="K152" s="52">
        <v>0</v>
      </c>
      <c r="L152" s="52">
        <v>0</v>
      </c>
      <c r="M152" s="52">
        <v>0</v>
      </c>
      <c r="N152" s="52">
        <v>0</v>
      </c>
      <c r="O152" s="67" t="s">
        <v>309</v>
      </c>
      <c r="P152" s="67">
        <v>100</v>
      </c>
      <c r="Q152" s="67">
        <v>100</v>
      </c>
      <c r="R152" s="25"/>
      <c r="S152" s="25"/>
    </row>
    <row r="153" spans="1:19" s="11" customFormat="1" ht="65.25" customHeight="1" x14ac:dyDescent="0.25">
      <c r="A153" s="72" t="s">
        <v>60</v>
      </c>
      <c r="B153" s="73"/>
      <c r="C153" s="74"/>
      <c r="D153" s="75"/>
      <c r="E153" s="76"/>
      <c r="F153" s="76"/>
      <c r="G153" s="76"/>
      <c r="H153" s="76"/>
      <c r="I153" s="76"/>
      <c r="J153" s="76"/>
      <c r="K153" s="76"/>
      <c r="L153" s="76"/>
      <c r="M153" s="76"/>
      <c r="N153" s="76"/>
      <c r="O153" s="76"/>
      <c r="P153" s="76"/>
      <c r="Q153" s="76"/>
      <c r="R153" s="76"/>
      <c r="S153" s="77"/>
    </row>
    <row r="154" spans="1:19" s="5" customFormat="1" ht="409.5" x14ac:dyDescent="0.25">
      <c r="A154" s="14" t="s">
        <v>251</v>
      </c>
      <c r="B154" s="16" t="s">
        <v>311</v>
      </c>
      <c r="C154" s="59" t="s">
        <v>252</v>
      </c>
      <c r="D154" s="42">
        <f t="shared" ref="D154" si="105">G154+I154+K154+M154</f>
        <v>69617.2</v>
      </c>
      <c r="E154" s="42">
        <f t="shared" ref="E154" si="106">H154+J154+L154+N154</f>
        <v>40395.760000000002</v>
      </c>
      <c r="F154" s="42">
        <f t="shared" ref="F154" si="107">E154/D154*100</f>
        <v>58.025545411191494</v>
      </c>
      <c r="G154" s="52">
        <v>69617.2</v>
      </c>
      <c r="H154" s="52">
        <f>34110.3+364.56+2880.5+2617.3+423.1</f>
        <v>40395.760000000002</v>
      </c>
      <c r="I154" s="42">
        <v>0</v>
      </c>
      <c r="J154" s="42">
        <v>0</v>
      </c>
      <c r="K154" s="52">
        <v>0</v>
      </c>
      <c r="L154" s="52">
        <v>0</v>
      </c>
      <c r="M154" s="52">
        <v>0</v>
      </c>
      <c r="N154" s="52">
        <v>0</v>
      </c>
      <c r="O154" s="67" t="s">
        <v>310</v>
      </c>
      <c r="P154" s="67">
        <v>100</v>
      </c>
      <c r="Q154" s="67">
        <v>100</v>
      </c>
      <c r="R154" s="25"/>
      <c r="S154" s="25"/>
    </row>
    <row r="155" spans="1:19" s="11" customFormat="1" ht="65.25" customHeight="1" x14ac:dyDescent="0.25">
      <c r="A155" s="72" t="s">
        <v>60</v>
      </c>
      <c r="B155" s="73"/>
      <c r="C155" s="74"/>
      <c r="D155" s="75"/>
      <c r="E155" s="76"/>
      <c r="F155" s="76"/>
      <c r="G155" s="76"/>
      <c r="H155" s="76"/>
      <c r="I155" s="76"/>
      <c r="J155" s="76"/>
      <c r="K155" s="76"/>
      <c r="L155" s="76"/>
      <c r="M155" s="76"/>
      <c r="N155" s="76"/>
      <c r="O155" s="76"/>
      <c r="P155" s="76"/>
      <c r="Q155" s="76"/>
      <c r="R155" s="76"/>
      <c r="S155" s="77"/>
    </row>
    <row r="156" spans="1:19" s="5" customFormat="1" ht="76.5" x14ac:dyDescent="0.25">
      <c r="A156" s="46" t="s">
        <v>114</v>
      </c>
      <c r="B156" s="15" t="s">
        <v>115</v>
      </c>
      <c r="C156" s="43"/>
      <c r="D156" s="44">
        <f>G156+I156+K156+M156</f>
        <v>70529.399999999994</v>
      </c>
      <c r="E156" s="44">
        <f>H156+J156+L156+N156</f>
        <v>44708.340000000004</v>
      </c>
      <c r="F156" s="44">
        <f>E156/D156*100</f>
        <v>63.389650273502973</v>
      </c>
      <c r="G156" s="44">
        <f>G158+G160</f>
        <v>46190.6</v>
      </c>
      <c r="H156" s="44">
        <f t="shared" ref="H156:N156" si="108">H158+H160</f>
        <v>26980.400000000001</v>
      </c>
      <c r="I156" s="44">
        <f t="shared" si="108"/>
        <v>24338.799999999999</v>
      </c>
      <c r="J156" s="44">
        <f t="shared" si="108"/>
        <v>17727.940000000002</v>
      </c>
      <c r="K156" s="44">
        <f t="shared" si="108"/>
        <v>0</v>
      </c>
      <c r="L156" s="44">
        <f t="shared" si="108"/>
        <v>0</v>
      </c>
      <c r="M156" s="44">
        <f t="shared" si="108"/>
        <v>0</v>
      </c>
      <c r="N156" s="44">
        <f t="shared" si="108"/>
        <v>0</v>
      </c>
      <c r="O156" s="23"/>
      <c r="P156" s="23"/>
      <c r="Q156" s="23"/>
      <c r="R156" s="23"/>
      <c r="S156" s="23"/>
    </row>
    <row r="157" spans="1:19" s="5" customFormat="1" x14ac:dyDescent="0.25">
      <c r="A157" s="14"/>
      <c r="B157" s="16" t="s">
        <v>38</v>
      </c>
      <c r="C157" s="23"/>
      <c r="D157" s="26"/>
      <c r="E157" s="26"/>
      <c r="F157" s="26"/>
      <c r="G157" s="26"/>
      <c r="H157" s="26"/>
      <c r="I157" s="42"/>
      <c r="J157" s="26"/>
      <c r="K157" s="26"/>
      <c r="L157" s="26"/>
      <c r="M157" s="26"/>
      <c r="N157" s="26"/>
      <c r="O157" s="23"/>
      <c r="P157" s="23"/>
      <c r="Q157" s="23"/>
      <c r="R157" s="23"/>
      <c r="S157" s="23"/>
    </row>
    <row r="158" spans="1:19" s="5" customFormat="1" ht="321" customHeight="1" x14ac:dyDescent="0.25">
      <c r="A158" s="14" t="s">
        <v>207</v>
      </c>
      <c r="B158" s="16" t="s">
        <v>208</v>
      </c>
      <c r="C158" s="23" t="s">
        <v>153</v>
      </c>
      <c r="D158" s="26">
        <f t="shared" ref="D158" si="109">G158+I158+K158+M158</f>
        <v>23872.2</v>
      </c>
      <c r="E158" s="26">
        <f t="shared" ref="E158" si="110">H158+J158+L158+N158</f>
        <v>17455.440000000002</v>
      </c>
      <c r="F158" s="26">
        <f t="shared" ref="F158" si="111">E158/D158*100</f>
        <v>73.120365948676707</v>
      </c>
      <c r="G158" s="26">
        <v>0</v>
      </c>
      <c r="H158" s="26">
        <v>0</v>
      </c>
      <c r="I158" s="42">
        <v>23872.2</v>
      </c>
      <c r="J158" s="26">
        <f>367.4+17088.04</f>
        <v>17455.440000000002</v>
      </c>
      <c r="K158" s="26">
        <v>0</v>
      </c>
      <c r="L158" s="26">
        <v>0</v>
      </c>
      <c r="M158" s="42">
        <v>0</v>
      </c>
      <c r="N158" s="42">
        <v>0</v>
      </c>
      <c r="O158" s="65" t="s">
        <v>312</v>
      </c>
      <c r="P158" s="67" t="s">
        <v>214</v>
      </c>
      <c r="Q158" s="67" t="s">
        <v>214</v>
      </c>
      <c r="R158" s="25"/>
      <c r="S158" s="33"/>
    </row>
    <row r="159" spans="1:19" s="11" customFormat="1" ht="66.75" customHeight="1" x14ac:dyDescent="0.25">
      <c r="A159" s="72" t="s">
        <v>60</v>
      </c>
      <c r="B159" s="73"/>
      <c r="C159" s="74"/>
      <c r="D159" s="81"/>
      <c r="E159" s="82"/>
      <c r="F159" s="82"/>
      <c r="G159" s="82"/>
      <c r="H159" s="82"/>
      <c r="I159" s="82"/>
      <c r="J159" s="82"/>
      <c r="K159" s="82"/>
      <c r="L159" s="82"/>
      <c r="M159" s="82"/>
      <c r="N159" s="82"/>
      <c r="O159" s="82"/>
      <c r="P159" s="82"/>
      <c r="Q159" s="82"/>
      <c r="R159" s="82"/>
      <c r="S159" s="83"/>
    </row>
    <row r="160" spans="1:19" s="5" customFormat="1" ht="222" customHeight="1" x14ac:dyDescent="0.25">
      <c r="A160" s="14" t="s">
        <v>253</v>
      </c>
      <c r="B160" s="16" t="s">
        <v>254</v>
      </c>
      <c r="C160" s="23" t="s">
        <v>153</v>
      </c>
      <c r="D160" s="26">
        <f t="shared" ref="D160" si="112">G160+I160+K160+M160</f>
        <v>46657.2</v>
      </c>
      <c r="E160" s="26">
        <f t="shared" ref="E160" si="113">H160+J160+L160+N160</f>
        <v>27252.9</v>
      </c>
      <c r="F160" s="26">
        <f t="shared" ref="F160" si="114">E160/D160*100</f>
        <v>58.41092050101593</v>
      </c>
      <c r="G160" s="26">
        <v>46190.6</v>
      </c>
      <c r="H160" s="26">
        <v>26980.400000000001</v>
      </c>
      <c r="I160" s="42">
        <v>466.6</v>
      </c>
      <c r="J160" s="26">
        <v>272.5</v>
      </c>
      <c r="K160" s="26">
        <v>0</v>
      </c>
      <c r="L160" s="26">
        <v>0</v>
      </c>
      <c r="M160" s="42">
        <v>0</v>
      </c>
      <c r="N160" s="42">
        <v>0</v>
      </c>
      <c r="O160" s="65" t="s">
        <v>313</v>
      </c>
      <c r="P160" s="67" t="s">
        <v>158</v>
      </c>
      <c r="Q160" s="67" t="s">
        <v>158</v>
      </c>
      <c r="R160" s="25"/>
      <c r="S160" s="33"/>
    </row>
    <row r="161" spans="1:19" s="11" customFormat="1" ht="66.75" customHeight="1" x14ac:dyDescent="0.25">
      <c r="A161" s="72" t="s">
        <v>60</v>
      </c>
      <c r="B161" s="73"/>
      <c r="C161" s="74"/>
      <c r="D161" s="81"/>
      <c r="E161" s="82"/>
      <c r="F161" s="82"/>
      <c r="G161" s="82"/>
      <c r="H161" s="82"/>
      <c r="I161" s="82"/>
      <c r="J161" s="82"/>
      <c r="K161" s="82"/>
      <c r="L161" s="82"/>
      <c r="M161" s="82"/>
      <c r="N161" s="82"/>
      <c r="O161" s="82"/>
      <c r="P161" s="82"/>
      <c r="Q161" s="82"/>
      <c r="R161" s="82"/>
      <c r="S161" s="83"/>
    </row>
    <row r="162" spans="1:19" s="5" customFormat="1" ht="132" customHeight="1" x14ac:dyDescent="0.25">
      <c r="A162" s="14" t="s">
        <v>63</v>
      </c>
      <c r="B162" s="15" t="s">
        <v>48</v>
      </c>
      <c r="C162" s="43"/>
      <c r="D162" s="44">
        <f>G162+I162+K162+M162</f>
        <v>173452.7</v>
      </c>
      <c r="E162" s="44">
        <f>H162+J162+L162+N162</f>
        <v>61556.450000000004</v>
      </c>
      <c r="F162" s="44">
        <f>E162/D162*100</f>
        <v>35.48889697306528</v>
      </c>
      <c r="G162" s="53">
        <f>G164+G166+G168+G170+G172+G174+G176</f>
        <v>0</v>
      </c>
      <c r="H162" s="53">
        <f t="shared" ref="H162:N162" si="115">H164+H166+H168+H170+H172+H174+H176</f>
        <v>0</v>
      </c>
      <c r="I162" s="53">
        <f t="shared" si="115"/>
        <v>173452.7</v>
      </c>
      <c r="J162" s="53">
        <f t="shared" si="115"/>
        <v>61556.450000000004</v>
      </c>
      <c r="K162" s="53">
        <f t="shared" si="115"/>
        <v>0</v>
      </c>
      <c r="L162" s="53">
        <f t="shared" si="115"/>
        <v>0</v>
      </c>
      <c r="M162" s="53">
        <f t="shared" si="115"/>
        <v>0</v>
      </c>
      <c r="N162" s="53">
        <f t="shared" si="115"/>
        <v>0</v>
      </c>
      <c r="O162" s="23"/>
      <c r="P162" s="23"/>
      <c r="Q162" s="23"/>
      <c r="R162" s="23"/>
      <c r="S162" s="23"/>
    </row>
    <row r="163" spans="1:19" s="5" customFormat="1" x14ac:dyDescent="0.25">
      <c r="A163" s="14"/>
      <c r="B163" s="16" t="s">
        <v>38</v>
      </c>
      <c r="C163" s="23"/>
      <c r="D163" s="26"/>
      <c r="E163" s="26"/>
      <c r="F163" s="26"/>
      <c r="G163" s="26"/>
      <c r="H163" s="26"/>
      <c r="I163" s="42"/>
      <c r="J163" s="26"/>
      <c r="K163" s="26"/>
      <c r="L163" s="26"/>
      <c r="M163" s="26"/>
      <c r="N163" s="26"/>
      <c r="O163" s="23"/>
      <c r="P163" s="23"/>
      <c r="Q163" s="23"/>
      <c r="R163" s="23"/>
      <c r="S163" s="23"/>
    </row>
    <row r="164" spans="1:19" s="5" customFormat="1" ht="195" customHeight="1" x14ac:dyDescent="0.25">
      <c r="A164" s="14" t="s">
        <v>64</v>
      </c>
      <c r="B164" s="16" t="s">
        <v>144</v>
      </c>
      <c r="C164" s="23" t="s">
        <v>28</v>
      </c>
      <c r="D164" s="26">
        <f t="shared" ref="D164:E168" si="116">G164+I164+K164+M164</f>
        <v>2975</v>
      </c>
      <c r="E164" s="26">
        <f t="shared" si="116"/>
        <v>1733.51</v>
      </c>
      <c r="F164" s="26">
        <f t="shared" si="10"/>
        <v>58.269243697478991</v>
      </c>
      <c r="G164" s="24">
        <v>0</v>
      </c>
      <c r="H164" s="24">
        <v>0</v>
      </c>
      <c r="I164" s="42">
        <v>2975</v>
      </c>
      <c r="J164" s="42">
        <v>1733.51</v>
      </c>
      <c r="K164" s="24">
        <v>0</v>
      </c>
      <c r="L164" s="24">
        <v>0</v>
      </c>
      <c r="M164" s="24">
        <v>0</v>
      </c>
      <c r="N164" s="24">
        <v>0</v>
      </c>
      <c r="O164" s="65" t="s">
        <v>314</v>
      </c>
      <c r="P164" s="65">
        <v>100</v>
      </c>
      <c r="Q164" s="66">
        <v>100</v>
      </c>
      <c r="R164" s="25"/>
      <c r="S164" s="33"/>
    </row>
    <row r="165" spans="1:19" s="11" customFormat="1" ht="60" customHeight="1" x14ac:dyDescent="0.25">
      <c r="A165" s="72" t="s">
        <v>60</v>
      </c>
      <c r="B165" s="73"/>
      <c r="C165" s="74"/>
      <c r="D165" s="84"/>
      <c r="E165" s="85"/>
      <c r="F165" s="85"/>
      <c r="G165" s="85"/>
      <c r="H165" s="85"/>
      <c r="I165" s="85"/>
      <c r="J165" s="85"/>
      <c r="K165" s="85"/>
      <c r="L165" s="85"/>
      <c r="M165" s="85"/>
      <c r="N165" s="85"/>
      <c r="O165" s="85"/>
      <c r="P165" s="85"/>
      <c r="Q165" s="85"/>
      <c r="R165" s="85"/>
      <c r="S165" s="86"/>
    </row>
    <row r="166" spans="1:19" s="5" customFormat="1" ht="85.15" customHeight="1" x14ac:dyDescent="0.25">
      <c r="A166" s="14" t="s">
        <v>65</v>
      </c>
      <c r="B166" s="16" t="s">
        <v>145</v>
      </c>
      <c r="C166" s="23" t="s">
        <v>28</v>
      </c>
      <c r="D166" s="26">
        <f t="shared" si="116"/>
        <v>2705.3</v>
      </c>
      <c r="E166" s="26">
        <f t="shared" si="116"/>
        <v>675</v>
      </c>
      <c r="F166" s="26">
        <f t="shared" si="10"/>
        <v>24.951022067792849</v>
      </c>
      <c r="G166" s="24">
        <v>0</v>
      </c>
      <c r="H166" s="24">
        <v>0</v>
      </c>
      <c r="I166" s="42">
        <v>2705.3</v>
      </c>
      <c r="J166" s="42">
        <v>675</v>
      </c>
      <c r="K166" s="24">
        <v>0</v>
      </c>
      <c r="L166" s="24">
        <v>0</v>
      </c>
      <c r="M166" s="24">
        <v>0</v>
      </c>
      <c r="N166" s="24">
        <v>0</v>
      </c>
      <c r="O166" s="65" t="s">
        <v>315</v>
      </c>
      <c r="P166" s="65" t="s">
        <v>215</v>
      </c>
      <c r="Q166" s="65" t="s">
        <v>215</v>
      </c>
      <c r="R166" s="25"/>
      <c r="S166" s="33"/>
    </row>
    <row r="167" spans="1:19" s="11" customFormat="1" ht="60" customHeight="1" x14ac:dyDescent="0.25">
      <c r="A167" s="72" t="s">
        <v>60</v>
      </c>
      <c r="B167" s="73"/>
      <c r="C167" s="74"/>
      <c r="D167" s="78"/>
      <c r="E167" s="79"/>
      <c r="F167" s="79"/>
      <c r="G167" s="79"/>
      <c r="H167" s="79"/>
      <c r="I167" s="79"/>
      <c r="J167" s="79"/>
      <c r="K167" s="79"/>
      <c r="L167" s="79"/>
      <c r="M167" s="79"/>
      <c r="N167" s="79"/>
      <c r="O167" s="79"/>
      <c r="P167" s="79"/>
      <c r="Q167" s="79"/>
      <c r="R167" s="79"/>
      <c r="S167" s="80"/>
    </row>
    <row r="168" spans="1:19" s="5" customFormat="1" ht="74.25" customHeight="1" x14ac:dyDescent="0.25">
      <c r="A168" s="14" t="s">
        <v>66</v>
      </c>
      <c r="B168" s="16" t="s">
        <v>117</v>
      </c>
      <c r="C168" s="23" t="s">
        <v>28</v>
      </c>
      <c r="D168" s="42">
        <f t="shared" si="116"/>
        <v>133182.70000000001</v>
      </c>
      <c r="E168" s="42">
        <f t="shared" si="116"/>
        <v>59093.94</v>
      </c>
      <c r="F168" s="42">
        <f t="shared" si="10"/>
        <v>44.370582665766648</v>
      </c>
      <c r="G168" s="52">
        <v>0</v>
      </c>
      <c r="H168" s="52">
        <v>0</v>
      </c>
      <c r="I168" s="42">
        <f>4543.2+128639.5</f>
        <v>133182.70000000001</v>
      </c>
      <c r="J168" s="42">
        <f>2639.57+56454.37</f>
        <v>59093.94</v>
      </c>
      <c r="K168" s="52">
        <v>0</v>
      </c>
      <c r="L168" s="52">
        <v>0</v>
      </c>
      <c r="M168" s="52">
        <v>0</v>
      </c>
      <c r="N168" s="52">
        <v>0</v>
      </c>
      <c r="O168" s="67" t="s">
        <v>271</v>
      </c>
      <c r="P168" s="67">
        <v>1</v>
      </c>
      <c r="Q168" s="67">
        <v>1</v>
      </c>
      <c r="R168" s="25"/>
      <c r="S168" s="25"/>
    </row>
    <row r="169" spans="1:19" s="11" customFormat="1" ht="58.5" customHeight="1" x14ac:dyDescent="0.25">
      <c r="A169" s="72" t="s">
        <v>60</v>
      </c>
      <c r="B169" s="73"/>
      <c r="C169" s="74"/>
      <c r="D169" s="78"/>
      <c r="E169" s="79"/>
      <c r="F169" s="79"/>
      <c r="G169" s="79"/>
      <c r="H169" s="79"/>
      <c r="I169" s="79"/>
      <c r="J169" s="79"/>
      <c r="K169" s="79"/>
      <c r="L169" s="79"/>
      <c r="M169" s="79"/>
      <c r="N169" s="79"/>
      <c r="O169" s="79"/>
      <c r="P169" s="79"/>
      <c r="Q169" s="79"/>
      <c r="R169" s="79"/>
      <c r="S169" s="80"/>
    </row>
    <row r="170" spans="1:19" s="5" customFormat="1" ht="195.75" customHeight="1" x14ac:dyDescent="0.25">
      <c r="A170" s="14" t="s">
        <v>77</v>
      </c>
      <c r="B170" s="16" t="s">
        <v>209</v>
      </c>
      <c r="C170" s="23" t="s">
        <v>143</v>
      </c>
      <c r="D170" s="26">
        <f t="shared" ref="D170:E172" si="117">G170+I170+K170+M170</f>
        <v>33463.699999999997</v>
      </c>
      <c r="E170" s="26">
        <f t="shared" si="117"/>
        <v>0</v>
      </c>
      <c r="F170" s="26">
        <f t="shared" si="10"/>
        <v>0</v>
      </c>
      <c r="G170" s="24">
        <v>0</v>
      </c>
      <c r="H170" s="24">
        <v>0</v>
      </c>
      <c r="I170" s="42">
        <v>33463.699999999997</v>
      </c>
      <c r="J170" s="24">
        <v>0</v>
      </c>
      <c r="K170" s="24">
        <v>0</v>
      </c>
      <c r="L170" s="24">
        <v>0</v>
      </c>
      <c r="M170" s="24">
        <v>0</v>
      </c>
      <c r="N170" s="24">
        <v>0</v>
      </c>
      <c r="O170" s="65" t="s">
        <v>316</v>
      </c>
      <c r="P170" s="67" t="s">
        <v>158</v>
      </c>
      <c r="Q170" s="67" t="s">
        <v>158</v>
      </c>
      <c r="R170" s="33"/>
      <c r="S170" s="33"/>
    </row>
    <row r="171" spans="1:19" s="11" customFormat="1" ht="60" customHeight="1" x14ac:dyDescent="0.25">
      <c r="A171" s="72" t="s">
        <v>60</v>
      </c>
      <c r="B171" s="73"/>
      <c r="C171" s="74"/>
      <c r="D171" s="78"/>
      <c r="E171" s="79"/>
      <c r="F171" s="79"/>
      <c r="G171" s="79"/>
      <c r="H171" s="79"/>
      <c r="I171" s="79"/>
      <c r="J171" s="79"/>
      <c r="K171" s="79"/>
      <c r="L171" s="79"/>
      <c r="M171" s="79"/>
      <c r="N171" s="79"/>
      <c r="O171" s="79"/>
      <c r="P171" s="79"/>
      <c r="Q171" s="79"/>
      <c r="R171" s="79"/>
      <c r="S171" s="80"/>
    </row>
    <row r="172" spans="1:19" s="5" customFormat="1" ht="227.45" customHeight="1" x14ac:dyDescent="0.25">
      <c r="A172" s="14" t="s">
        <v>67</v>
      </c>
      <c r="B172" s="16" t="s">
        <v>118</v>
      </c>
      <c r="C172" s="23" t="s">
        <v>30</v>
      </c>
      <c r="D172" s="26">
        <f t="shared" si="117"/>
        <v>126</v>
      </c>
      <c r="E172" s="26">
        <f t="shared" si="117"/>
        <v>54</v>
      </c>
      <c r="F172" s="26">
        <f t="shared" si="10"/>
        <v>42.857142857142854</v>
      </c>
      <c r="G172" s="26">
        <v>0</v>
      </c>
      <c r="H172" s="26">
        <v>0</v>
      </c>
      <c r="I172" s="42">
        <v>126</v>
      </c>
      <c r="J172" s="26">
        <v>54</v>
      </c>
      <c r="K172" s="26">
        <v>0</v>
      </c>
      <c r="L172" s="26">
        <v>0</v>
      </c>
      <c r="M172" s="26">
        <v>0</v>
      </c>
      <c r="N172" s="26">
        <v>0</v>
      </c>
      <c r="O172" s="65" t="s">
        <v>317</v>
      </c>
      <c r="P172" s="65">
        <v>100</v>
      </c>
      <c r="Q172" s="66">
        <v>100</v>
      </c>
      <c r="R172" s="25"/>
      <c r="S172" s="33"/>
    </row>
    <row r="173" spans="1:19" s="11" customFormat="1" ht="58.5" customHeight="1" x14ac:dyDescent="0.25">
      <c r="A173" s="72" t="s">
        <v>60</v>
      </c>
      <c r="B173" s="73"/>
      <c r="C173" s="74"/>
      <c r="D173" s="78"/>
      <c r="E173" s="79"/>
      <c r="F173" s="79"/>
      <c r="G173" s="79"/>
      <c r="H173" s="79"/>
      <c r="I173" s="79"/>
      <c r="J173" s="79"/>
      <c r="K173" s="79"/>
      <c r="L173" s="79"/>
      <c r="M173" s="79"/>
      <c r="N173" s="79"/>
      <c r="O173" s="79"/>
      <c r="P173" s="79"/>
      <c r="Q173" s="79"/>
      <c r="R173" s="79"/>
      <c r="S173" s="80"/>
    </row>
    <row r="174" spans="1:19" s="5" customFormat="1" ht="237" hidden="1" customHeight="1" x14ac:dyDescent="0.25">
      <c r="A174" s="14" t="s">
        <v>210</v>
      </c>
      <c r="B174" s="16" t="s">
        <v>211</v>
      </c>
      <c r="C174" s="23" t="s">
        <v>28</v>
      </c>
      <c r="D174" s="26">
        <f t="shared" ref="D174" si="118">G174+I174+K174+M174</f>
        <v>0</v>
      </c>
      <c r="E174" s="26">
        <f t="shared" ref="E174" si="119">H174+J174+L174+N174</f>
        <v>0</v>
      </c>
      <c r="F174" s="26" t="e">
        <f t="shared" ref="F174" si="120">E174/D174*100</f>
        <v>#DIV/0!</v>
      </c>
      <c r="G174" s="26">
        <v>0</v>
      </c>
      <c r="H174" s="26">
        <v>0</v>
      </c>
      <c r="I174" s="42">
        <v>0</v>
      </c>
      <c r="J174" s="42">
        <v>0</v>
      </c>
      <c r="K174" s="26">
        <v>0</v>
      </c>
      <c r="L174" s="26">
        <v>0</v>
      </c>
      <c r="M174" s="26">
        <v>0</v>
      </c>
      <c r="N174" s="26">
        <v>0</v>
      </c>
      <c r="O174" s="23" t="s">
        <v>342</v>
      </c>
      <c r="P174" s="23" t="s">
        <v>158</v>
      </c>
      <c r="Q174" s="33" t="s">
        <v>158</v>
      </c>
      <c r="R174" s="25"/>
      <c r="S174" s="33"/>
    </row>
    <row r="175" spans="1:19" s="11" customFormat="1" ht="58.5" hidden="1" customHeight="1" x14ac:dyDescent="0.25">
      <c r="A175" s="72" t="s">
        <v>60</v>
      </c>
      <c r="B175" s="73"/>
      <c r="C175" s="74"/>
      <c r="D175" s="78"/>
      <c r="E175" s="79"/>
      <c r="F175" s="79"/>
      <c r="G175" s="79"/>
      <c r="H175" s="79"/>
      <c r="I175" s="79"/>
      <c r="J175" s="79"/>
      <c r="K175" s="79"/>
      <c r="L175" s="79"/>
      <c r="M175" s="79"/>
      <c r="N175" s="79"/>
      <c r="O175" s="79"/>
      <c r="P175" s="79"/>
      <c r="Q175" s="79"/>
      <c r="R175" s="79"/>
      <c r="S175" s="80"/>
    </row>
    <row r="176" spans="1:19" s="5" customFormat="1" ht="76.5" x14ac:dyDescent="0.25">
      <c r="A176" s="14" t="s">
        <v>255</v>
      </c>
      <c r="B176" s="16" t="s">
        <v>256</v>
      </c>
      <c r="C176" s="23" t="s">
        <v>30</v>
      </c>
      <c r="D176" s="26">
        <f t="shared" ref="D176" si="121">G176+I176+K176+M176</f>
        <v>1000</v>
      </c>
      <c r="E176" s="26">
        <f t="shared" ref="E176" si="122">H176+J176+L176+N176</f>
        <v>0</v>
      </c>
      <c r="F176" s="26">
        <f t="shared" ref="F176" si="123">E176/D176*100</f>
        <v>0</v>
      </c>
      <c r="G176" s="26">
        <v>0</v>
      </c>
      <c r="H176" s="26">
        <v>0</v>
      </c>
      <c r="I176" s="42">
        <v>1000</v>
      </c>
      <c r="J176" s="42">
        <v>0</v>
      </c>
      <c r="K176" s="26">
        <v>0</v>
      </c>
      <c r="L176" s="26">
        <v>0</v>
      </c>
      <c r="M176" s="26">
        <v>0</v>
      </c>
      <c r="N176" s="26">
        <v>0</v>
      </c>
      <c r="O176" s="65" t="s">
        <v>318</v>
      </c>
      <c r="P176" s="65" t="s">
        <v>158</v>
      </c>
      <c r="Q176" s="66" t="s">
        <v>158</v>
      </c>
      <c r="R176" s="25"/>
      <c r="S176" s="33"/>
    </row>
    <row r="177" spans="1:19" s="11" customFormat="1" ht="58.5" customHeight="1" x14ac:dyDescent="0.25">
      <c r="A177" s="72" t="s">
        <v>60</v>
      </c>
      <c r="B177" s="73"/>
      <c r="C177" s="74"/>
      <c r="D177" s="78"/>
      <c r="E177" s="79"/>
      <c r="F177" s="79"/>
      <c r="G177" s="79"/>
      <c r="H177" s="79"/>
      <c r="I177" s="79"/>
      <c r="J177" s="79"/>
      <c r="K177" s="79"/>
      <c r="L177" s="79"/>
      <c r="M177" s="79"/>
      <c r="N177" s="79"/>
      <c r="O177" s="79"/>
      <c r="P177" s="79"/>
      <c r="Q177" s="79"/>
      <c r="R177" s="79"/>
      <c r="S177" s="80"/>
    </row>
    <row r="178" spans="1:19" s="5" customFormat="1" x14ac:dyDescent="0.25">
      <c r="A178" s="14"/>
      <c r="B178" s="15" t="s">
        <v>54</v>
      </c>
      <c r="C178" s="43"/>
      <c r="D178" s="44">
        <f>G178+I178+K178+M178</f>
        <v>1726454</v>
      </c>
      <c r="E178" s="44">
        <f>H178+J178+L178+N178</f>
        <v>925268.11</v>
      </c>
      <c r="F178" s="44">
        <f>E178/D178*100</f>
        <v>53.593557082899402</v>
      </c>
      <c r="G178" s="44">
        <f>G130+G162+G156+G142</f>
        <v>115807.79999999999</v>
      </c>
      <c r="H178" s="44">
        <f t="shared" ref="H178:N178" si="124">H130+H162+H156+H142</f>
        <v>67376.160000000003</v>
      </c>
      <c r="I178" s="44">
        <f t="shared" si="124"/>
        <v>1610646.2</v>
      </c>
      <c r="J178" s="44">
        <f t="shared" si="124"/>
        <v>857891.95</v>
      </c>
      <c r="K178" s="44">
        <f t="shared" si="124"/>
        <v>0</v>
      </c>
      <c r="L178" s="44">
        <f t="shared" si="124"/>
        <v>0</v>
      </c>
      <c r="M178" s="44">
        <f t="shared" si="124"/>
        <v>0</v>
      </c>
      <c r="N178" s="44">
        <f t="shared" si="124"/>
        <v>0</v>
      </c>
      <c r="O178" s="23"/>
      <c r="P178" s="23"/>
      <c r="Q178" s="23"/>
      <c r="R178" s="23"/>
      <c r="S178" s="23"/>
    </row>
    <row r="179" spans="1:19" s="5" customFormat="1" ht="51" x14ac:dyDescent="0.25">
      <c r="A179" s="14" t="s">
        <v>68</v>
      </c>
      <c r="B179" s="15" t="s">
        <v>49</v>
      </c>
      <c r="C179" s="43"/>
      <c r="D179" s="44"/>
      <c r="E179" s="44"/>
      <c r="F179" s="44"/>
      <c r="G179" s="44"/>
      <c r="H179" s="44"/>
      <c r="I179" s="53"/>
      <c r="J179" s="44"/>
      <c r="K179" s="44"/>
      <c r="L179" s="44"/>
      <c r="M179" s="44"/>
      <c r="N179" s="44"/>
      <c r="O179" s="23"/>
      <c r="P179" s="23"/>
      <c r="Q179" s="23"/>
      <c r="R179" s="23"/>
      <c r="S179" s="23"/>
    </row>
    <row r="180" spans="1:19" s="5" customFormat="1" ht="63.75" x14ac:dyDescent="0.25">
      <c r="A180" s="14" t="s">
        <v>69</v>
      </c>
      <c r="B180" s="15" t="s">
        <v>50</v>
      </c>
      <c r="C180" s="43"/>
      <c r="D180" s="44">
        <f t="shared" ref="D180:I180" si="125">D182+D184+D186+D188+D192+D194+D196+D190</f>
        <v>397800.19999999995</v>
      </c>
      <c r="E180" s="44">
        <f t="shared" si="125"/>
        <v>243708.07</v>
      </c>
      <c r="F180" s="44">
        <f t="shared" ref="F180:F186" si="126">E180/D180*100</f>
        <v>61.263938529945442</v>
      </c>
      <c r="G180" s="44">
        <f t="shared" si="125"/>
        <v>10436</v>
      </c>
      <c r="H180" s="44">
        <f t="shared" si="125"/>
        <v>4967.84</v>
      </c>
      <c r="I180" s="44">
        <f t="shared" si="125"/>
        <v>387364.19999999995</v>
      </c>
      <c r="J180" s="44">
        <f>J182+J184+J186+J188+J192+J194+J196+J190</f>
        <v>238740.22999999998</v>
      </c>
      <c r="K180" s="44">
        <f t="shared" ref="K180:N180" si="127">K182+K184+K186+K188+K192+K194+K196+K190</f>
        <v>0</v>
      </c>
      <c r="L180" s="44">
        <f t="shared" si="127"/>
        <v>0</v>
      </c>
      <c r="M180" s="44">
        <f t="shared" si="127"/>
        <v>0</v>
      </c>
      <c r="N180" s="44">
        <f t="shared" si="127"/>
        <v>0</v>
      </c>
      <c r="O180" s="23"/>
      <c r="P180" s="23"/>
      <c r="Q180" s="23"/>
      <c r="R180" s="23"/>
      <c r="S180" s="23"/>
    </row>
    <row r="181" spans="1:19" s="5" customFormat="1" x14ac:dyDescent="0.25">
      <c r="A181" s="14"/>
      <c r="B181" s="16" t="s">
        <v>38</v>
      </c>
      <c r="C181" s="23"/>
      <c r="D181" s="26"/>
      <c r="E181" s="26"/>
      <c r="F181" s="26"/>
      <c r="G181" s="26"/>
      <c r="H181" s="26"/>
      <c r="I181" s="42"/>
      <c r="J181" s="26"/>
      <c r="K181" s="26"/>
      <c r="L181" s="26"/>
      <c r="M181" s="26"/>
      <c r="N181" s="26"/>
      <c r="O181" s="23"/>
      <c r="P181" s="23"/>
      <c r="Q181" s="23"/>
      <c r="R181" s="23"/>
      <c r="S181" s="23"/>
    </row>
    <row r="182" spans="1:19" s="5" customFormat="1" ht="51" x14ac:dyDescent="0.25">
      <c r="A182" s="14" t="s">
        <v>70</v>
      </c>
      <c r="B182" s="16" t="s">
        <v>119</v>
      </c>
      <c r="C182" s="23" t="s">
        <v>30</v>
      </c>
      <c r="D182" s="26">
        <f t="shared" ref="D182:E182" si="128">G182+I182+K182+M182</f>
        <v>76431.8</v>
      </c>
      <c r="E182" s="26">
        <f t="shared" si="128"/>
        <v>31750.799999999999</v>
      </c>
      <c r="F182" s="26">
        <f t="shared" si="126"/>
        <v>41.541347972964132</v>
      </c>
      <c r="G182" s="24">
        <v>0</v>
      </c>
      <c r="H182" s="24">
        <v>0</v>
      </c>
      <c r="I182" s="42">
        <f>44847.18+9773.8+16496.8+4.02+560+4750</f>
        <v>76431.8</v>
      </c>
      <c r="J182" s="42">
        <v>31750.799999999999</v>
      </c>
      <c r="K182" s="24">
        <v>0</v>
      </c>
      <c r="L182" s="24">
        <v>0</v>
      </c>
      <c r="M182" s="24">
        <v>0</v>
      </c>
      <c r="N182" s="24">
        <v>0</v>
      </c>
      <c r="O182" s="65" t="s">
        <v>319</v>
      </c>
      <c r="P182" s="65">
        <v>100</v>
      </c>
      <c r="Q182" s="65">
        <v>100</v>
      </c>
      <c r="R182" s="25"/>
      <c r="S182" s="33"/>
    </row>
    <row r="183" spans="1:19" s="11" customFormat="1" ht="68.25" customHeight="1" x14ac:dyDescent="0.25">
      <c r="A183" s="72" t="s">
        <v>60</v>
      </c>
      <c r="B183" s="73"/>
      <c r="C183" s="74"/>
      <c r="D183" s="84"/>
      <c r="E183" s="85"/>
      <c r="F183" s="85"/>
      <c r="G183" s="85"/>
      <c r="H183" s="85"/>
      <c r="I183" s="85"/>
      <c r="J183" s="85"/>
      <c r="K183" s="85"/>
      <c r="L183" s="85"/>
      <c r="M183" s="85"/>
      <c r="N183" s="85"/>
      <c r="O183" s="85"/>
      <c r="P183" s="85"/>
      <c r="Q183" s="85"/>
      <c r="R183" s="85"/>
      <c r="S183" s="86"/>
    </row>
    <row r="184" spans="1:19" s="5" customFormat="1" ht="409.5" customHeight="1" x14ac:dyDescent="0.25">
      <c r="A184" s="14" t="s">
        <v>78</v>
      </c>
      <c r="B184" s="16" t="s">
        <v>257</v>
      </c>
      <c r="C184" s="23" t="s">
        <v>51</v>
      </c>
      <c r="D184" s="26">
        <f t="shared" ref="D184" si="129">G184+I184+K184+M184</f>
        <v>249518.8</v>
      </c>
      <c r="E184" s="26">
        <f t="shared" ref="E184" si="130">H184+J184+L184+N184</f>
        <v>168515.78</v>
      </c>
      <c r="F184" s="26">
        <f t="shared" ref="F184" si="131">E184/D184*100</f>
        <v>67.536305881560835</v>
      </c>
      <c r="G184" s="24">
        <v>0</v>
      </c>
      <c r="H184" s="24">
        <v>0</v>
      </c>
      <c r="I184" s="42">
        <v>249518.8</v>
      </c>
      <c r="J184" s="26">
        <v>168515.78</v>
      </c>
      <c r="K184" s="24">
        <v>0</v>
      </c>
      <c r="L184" s="24">
        <v>0</v>
      </c>
      <c r="M184" s="24">
        <v>0</v>
      </c>
      <c r="N184" s="24">
        <v>0</v>
      </c>
      <c r="O184" s="65" t="s">
        <v>320</v>
      </c>
      <c r="P184" s="65">
        <v>100</v>
      </c>
      <c r="Q184" s="65">
        <v>100</v>
      </c>
      <c r="R184" s="25" t="s">
        <v>330</v>
      </c>
      <c r="S184" s="23"/>
    </row>
    <row r="185" spans="1:19" s="11" customFormat="1" ht="65.25" customHeight="1" x14ac:dyDescent="0.25">
      <c r="A185" s="72" t="s">
        <v>60</v>
      </c>
      <c r="B185" s="73"/>
      <c r="C185" s="74"/>
      <c r="D185" s="84"/>
      <c r="E185" s="85"/>
      <c r="F185" s="85"/>
      <c r="G185" s="85"/>
      <c r="H185" s="85"/>
      <c r="I185" s="85"/>
      <c r="J185" s="85"/>
      <c r="K185" s="85"/>
      <c r="L185" s="85"/>
      <c r="M185" s="85"/>
      <c r="N185" s="85"/>
      <c r="O185" s="85"/>
      <c r="P185" s="85"/>
      <c r="Q185" s="85"/>
      <c r="R185" s="85"/>
      <c r="S185" s="86"/>
    </row>
    <row r="186" spans="1:19" s="5" customFormat="1" ht="153" x14ac:dyDescent="0.25">
      <c r="A186" s="14" t="s">
        <v>259</v>
      </c>
      <c r="B186" s="16" t="s">
        <v>258</v>
      </c>
      <c r="C186" s="23" t="s">
        <v>260</v>
      </c>
      <c r="D186" s="26">
        <f t="shared" ref="D186:E186" si="132">G186+I186+K186+M186</f>
        <v>16949.599999999999</v>
      </c>
      <c r="E186" s="26">
        <f t="shared" si="132"/>
        <v>7928.1</v>
      </c>
      <c r="F186" s="26">
        <f t="shared" si="126"/>
        <v>46.774555151744003</v>
      </c>
      <c r="G186" s="24">
        <v>0</v>
      </c>
      <c r="H186" s="24">
        <v>0</v>
      </c>
      <c r="I186" s="42">
        <v>16949.599999999999</v>
      </c>
      <c r="J186" s="42">
        <v>7928.1</v>
      </c>
      <c r="K186" s="24">
        <v>0</v>
      </c>
      <c r="L186" s="24">
        <v>0</v>
      </c>
      <c r="M186" s="24">
        <v>0</v>
      </c>
      <c r="N186" s="24">
        <v>0</v>
      </c>
      <c r="O186" s="65" t="s">
        <v>321</v>
      </c>
      <c r="P186" s="65">
        <v>30</v>
      </c>
      <c r="Q186" s="65">
        <v>30</v>
      </c>
      <c r="R186" s="25"/>
      <c r="S186" s="23"/>
    </row>
    <row r="187" spans="1:19" s="11" customFormat="1" ht="65.25" customHeight="1" x14ac:dyDescent="0.25">
      <c r="A187" s="72" t="s">
        <v>60</v>
      </c>
      <c r="B187" s="73"/>
      <c r="C187" s="74"/>
      <c r="D187" s="84"/>
      <c r="E187" s="85"/>
      <c r="F187" s="85"/>
      <c r="G187" s="85"/>
      <c r="H187" s="85"/>
      <c r="I187" s="85"/>
      <c r="J187" s="85"/>
      <c r="K187" s="85"/>
      <c r="L187" s="85"/>
      <c r="M187" s="85"/>
      <c r="N187" s="85"/>
      <c r="O187" s="85"/>
      <c r="P187" s="85"/>
      <c r="Q187" s="85"/>
      <c r="R187" s="85"/>
      <c r="S187" s="86"/>
    </row>
    <row r="188" spans="1:19" s="5" customFormat="1" ht="165.75" hidden="1" x14ac:dyDescent="0.25">
      <c r="A188" s="14" t="s">
        <v>261</v>
      </c>
      <c r="B188" s="62" t="s">
        <v>266</v>
      </c>
      <c r="C188" s="25" t="s">
        <v>267</v>
      </c>
      <c r="D188" s="42">
        <f t="shared" ref="D188" si="133">G188+I188+K188+M188</f>
        <v>0</v>
      </c>
      <c r="E188" s="42">
        <f t="shared" ref="E188" si="134">H188+J188+L188+N188</f>
        <v>0</v>
      </c>
      <c r="F188" s="42" t="e">
        <f t="shared" ref="F188" si="135">E188/D188*100</f>
        <v>#DIV/0!</v>
      </c>
      <c r="G188" s="52">
        <v>0</v>
      </c>
      <c r="H188" s="52">
        <v>0</v>
      </c>
      <c r="I188" s="42">
        <v>0</v>
      </c>
      <c r="J188" s="42">
        <v>0</v>
      </c>
      <c r="K188" s="52">
        <v>0</v>
      </c>
      <c r="L188" s="52">
        <v>0</v>
      </c>
      <c r="M188" s="52">
        <v>0</v>
      </c>
      <c r="N188" s="52">
        <v>0</v>
      </c>
      <c r="O188" s="25" t="s">
        <v>333</v>
      </c>
      <c r="P188" s="23" t="s">
        <v>158</v>
      </c>
      <c r="Q188" s="23" t="s">
        <v>158</v>
      </c>
      <c r="R188" s="25"/>
      <c r="S188" s="23"/>
    </row>
    <row r="189" spans="1:19" s="11" customFormat="1" ht="65.25" hidden="1" customHeight="1" x14ac:dyDescent="0.25">
      <c r="A189" s="72" t="s">
        <v>60</v>
      </c>
      <c r="B189" s="73"/>
      <c r="C189" s="74"/>
      <c r="D189" s="84"/>
      <c r="E189" s="85"/>
      <c r="F189" s="85"/>
      <c r="G189" s="85"/>
      <c r="H189" s="85"/>
      <c r="I189" s="85"/>
      <c r="J189" s="85"/>
      <c r="K189" s="85"/>
      <c r="L189" s="85"/>
      <c r="M189" s="85"/>
      <c r="N189" s="85"/>
      <c r="O189" s="85"/>
      <c r="P189" s="85"/>
      <c r="Q189" s="85"/>
      <c r="R189" s="85"/>
      <c r="S189" s="86"/>
    </row>
    <row r="190" spans="1:19" s="5" customFormat="1" ht="114.75" x14ac:dyDescent="0.25">
      <c r="A190" s="14" t="s">
        <v>261</v>
      </c>
      <c r="B190" s="16" t="s">
        <v>339</v>
      </c>
      <c r="C190" s="23" t="s">
        <v>30</v>
      </c>
      <c r="D190" s="26">
        <f t="shared" ref="D190" si="136">G190+I190+K190+M190</f>
        <v>6900</v>
      </c>
      <c r="E190" s="26">
        <f t="shared" ref="E190" si="137">H190+J190+L190+N190</f>
        <v>6900</v>
      </c>
      <c r="F190" s="26">
        <f t="shared" ref="F190" si="138">E190/D190*100</f>
        <v>100</v>
      </c>
      <c r="G190" s="24">
        <v>0</v>
      </c>
      <c r="H190" s="24">
        <v>0</v>
      </c>
      <c r="I190" s="42">
        <v>6900</v>
      </c>
      <c r="J190" s="42">
        <v>6900</v>
      </c>
      <c r="K190" s="24">
        <v>0</v>
      </c>
      <c r="L190" s="24">
        <v>0</v>
      </c>
      <c r="M190" s="24">
        <v>0</v>
      </c>
      <c r="N190" s="24">
        <v>0</v>
      </c>
      <c r="O190" s="65" t="s">
        <v>340</v>
      </c>
      <c r="P190" s="65">
        <v>8</v>
      </c>
      <c r="Q190" s="65">
        <v>8</v>
      </c>
      <c r="R190" s="25"/>
      <c r="S190" s="33"/>
    </row>
    <row r="191" spans="1:19" s="11" customFormat="1" ht="68.25" customHeight="1" x14ac:dyDescent="0.25">
      <c r="A191" s="72" t="s">
        <v>60</v>
      </c>
      <c r="B191" s="73"/>
      <c r="C191" s="74"/>
      <c r="D191" s="84"/>
      <c r="E191" s="85"/>
      <c r="F191" s="85"/>
      <c r="G191" s="85"/>
      <c r="H191" s="85"/>
      <c r="I191" s="85"/>
      <c r="J191" s="85"/>
      <c r="K191" s="85"/>
      <c r="L191" s="85"/>
      <c r="M191" s="85"/>
      <c r="N191" s="85"/>
      <c r="O191" s="85"/>
      <c r="P191" s="85"/>
      <c r="Q191" s="85"/>
      <c r="R191" s="85"/>
      <c r="S191" s="86"/>
    </row>
    <row r="192" spans="1:19" s="5" customFormat="1" ht="321" customHeight="1" x14ac:dyDescent="0.25">
      <c r="A192" s="14" t="s">
        <v>263</v>
      </c>
      <c r="B192" s="16" t="s">
        <v>262</v>
      </c>
      <c r="C192" s="23" t="s">
        <v>30</v>
      </c>
      <c r="D192" s="26">
        <f t="shared" ref="D192" si="139">G192+I192+K192+M192</f>
        <v>11494</v>
      </c>
      <c r="E192" s="26">
        <f t="shared" ref="E192" si="140">H192+J192+L192+N192</f>
        <v>5303.39</v>
      </c>
      <c r="F192" s="26">
        <f t="shared" ref="F192" si="141">E192/D192*100</f>
        <v>46.140508091178006</v>
      </c>
      <c r="G192" s="24">
        <v>10436</v>
      </c>
      <c r="H192" s="24">
        <f>3319.69+465.19+963.14+216.82+3</f>
        <v>4967.84</v>
      </c>
      <c r="I192" s="42">
        <f>620+188+192.01+57.99</f>
        <v>1058</v>
      </c>
      <c r="J192" s="42">
        <f>257.72+77.83</f>
        <v>335.55</v>
      </c>
      <c r="K192" s="24">
        <v>0</v>
      </c>
      <c r="L192" s="24">
        <v>0</v>
      </c>
      <c r="M192" s="24">
        <v>0</v>
      </c>
      <c r="N192" s="24">
        <v>0</v>
      </c>
      <c r="O192" s="23" t="s">
        <v>322</v>
      </c>
      <c r="P192" s="27" t="s">
        <v>343</v>
      </c>
      <c r="Q192" s="27" t="s">
        <v>346</v>
      </c>
      <c r="R192" s="25"/>
      <c r="S192" s="23"/>
    </row>
    <row r="193" spans="1:19" s="11" customFormat="1" ht="65.25" customHeight="1" x14ac:dyDescent="0.25">
      <c r="A193" s="72" t="s">
        <v>60</v>
      </c>
      <c r="B193" s="73"/>
      <c r="C193" s="74"/>
      <c r="D193" s="81"/>
      <c r="E193" s="82"/>
      <c r="F193" s="82"/>
      <c r="G193" s="82"/>
      <c r="H193" s="82"/>
      <c r="I193" s="82"/>
      <c r="J193" s="82"/>
      <c r="K193" s="82"/>
      <c r="L193" s="82"/>
      <c r="M193" s="82"/>
      <c r="N193" s="82"/>
      <c r="O193" s="82"/>
      <c r="P193" s="82"/>
      <c r="Q193" s="82"/>
      <c r="R193" s="82"/>
      <c r="S193" s="83"/>
    </row>
    <row r="194" spans="1:19" s="5" customFormat="1" ht="63.75" x14ac:dyDescent="0.25">
      <c r="A194" s="14" t="s">
        <v>264</v>
      </c>
      <c r="B194" s="16" t="s">
        <v>265</v>
      </c>
      <c r="C194" s="23" t="s">
        <v>260</v>
      </c>
      <c r="D194" s="26">
        <f t="shared" ref="D194" si="142">G194+I194+K194+M194</f>
        <v>35000</v>
      </c>
      <c r="E194" s="26">
        <f t="shared" ref="E194" si="143">H194+J194+L194+N194</f>
        <v>23310</v>
      </c>
      <c r="F194" s="26">
        <f t="shared" ref="F194" si="144">E194/D194*100</f>
        <v>66.600000000000009</v>
      </c>
      <c r="G194" s="24">
        <v>0</v>
      </c>
      <c r="H194" s="24">
        <v>0</v>
      </c>
      <c r="I194" s="42">
        <v>35000</v>
      </c>
      <c r="J194" s="42">
        <v>23310</v>
      </c>
      <c r="K194" s="24">
        <v>0</v>
      </c>
      <c r="L194" s="24">
        <v>0</v>
      </c>
      <c r="M194" s="24">
        <v>0</v>
      </c>
      <c r="N194" s="24">
        <v>0</v>
      </c>
      <c r="O194" s="65" t="s">
        <v>323</v>
      </c>
      <c r="P194" s="65" t="s">
        <v>158</v>
      </c>
      <c r="Q194" s="65" t="s">
        <v>158</v>
      </c>
      <c r="R194" s="25"/>
      <c r="S194" s="23"/>
    </row>
    <row r="195" spans="1:19" s="11" customFormat="1" ht="65.25" customHeight="1" x14ac:dyDescent="0.25">
      <c r="A195" s="72" t="s">
        <v>60</v>
      </c>
      <c r="B195" s="73"/>
      <c r="C195" s="74"/>
      <c r="D195" s="84"/>
      <c r="E195" s="85"/>
      <c r="F195" s="85"/>
      <c r="G195" s="85"/>
      <c r="H195" s="85"/>
      <c r="I195" s="85"/>
      <c r="J195" s="85"/>
      <c r="K195" s="85"/>
      <c r="L195" s="85"/>
      <c r="M195" s="85"/>
      <c r="N195" s="85"/>
      <c r="O195" s="85"/>
      <c r="P195" s="85"/>
      <c r="Q195" s="85"/>
      <c r="R195" s="85"/>
      <c r="S195" s="86"/>
    </row>
    <row r="196" spans="1:19" s="5" customFormat="1" ht="63.75" x14ac:dyDescent="0.25">
      <c r="A196" s="14" t="s">
        <v>336</v>
      </c>
      <c r="B196" s="16" t="s">
        <v>337</v>
      </c>
      <c r="C196" s="23" t="s">
        <v>260</v>
      </c>
      <c r="D196" s="26">
        <f t="shared" ref="D196" si="145">G196+I196+K196+M196</f>
        <v>1506</v>
      </c>
      <c r="E196" s="26">
        <f t="shared" ref="E196" si="146">H196+J196+L196+N196</f>
        <v>0</v>
      </c>
      <c r="F196" s="26">
        <f t="shared" ref="F196" si="147">E196/D196*100</f>
        <v>0</v>
      </c>
      <c r="G196" s="24">
        <v>0</v>
      </c>
      <c r="H196" s="24">
        <v>0</v>
      </c>
      <c r="I196" s="42">
        <v>1506</v>
      </c>
      <c r="J196" s="42">
        <v>0</v>
      </c>
      <c r="K196" s="24">
        <v>0</v>
      </c>
      <c r="L196" s="24">
        <v>0</v>
      </c>
      <c r="M196" s="24">
        <v>0</v>
      </c>
      <c r="N196" s="24">
        <v>0</v>
      </c>
      <c r="O196" s="65" t="s">
        <v>338</v>
      </c>
      <c r="P196" s="65" t="s">
        <v>158</v>
      </c>
      <c r="Q196" s="65" t="s">
        <v>158</v>
      </c>
      <c r="R196" s="25"/>
      <c r="S196" s="23"/>
    </row>
    <row r="197" spans="1:19" s="11" customFormat="1" ht="65.25" customHeight="1" x14ac:dyDescent="0.25">
      <c r="A197" s="72" t="s">
        <v>60</v>
      </c>
      <c r="B197" s="73"/>
      <c r="C197" s="74"/>
      <c r="D197" s="84"/>
      <c r="E197" s="85"/>
      <c r="F197" s="85"/>
      <c r="G197" s="85"/>
      <c r="H197" s="85"/>
      <c r="I197" s="85"/>
      <c r="J197" s="85"/>
      <c r="K197" s="85"/>
      <c r="L197" s="85"/>
      <c r="M197" s="85"/>
      <c r="N197" s="85"/>
      <c r="O197" s="85"/>
      <c r="P197" s="85"/>
      <c r="Q197" s="85"/>
      <c r="R197" s="85"/>
      <c r="S197" s="86"/>
    </row>
    <row r="198" spans="1:19" s="5" customFormat="1" ht="176.25" customHeight="1" x14ac:dyDescent="0.25">
      <c r="A198" s="14" t="s">
        <v>120</v>
      </c>
      <c r="B198" s="15" t="s">
        <v>122</v>
      </c>
      <c r="C198" s="43"/>
      <c r="D198" s="53">
        <f>D200</f>
        <v>2496</v>
      </c>
      <c r="E198" s="53">
        <f>E200</f>
        <v>2496</v>
      </c>
      <c r="F198" s="44">
        <f>E198/D198*100</f>
        <v>100</v>
      </c>
      <c r="G198" s="44">
        <f t="shared" ref="G198:N198" si="148">G200</f>
        <v>0</v>
      </c>
      <c r="H198" s="44">
        <f t="shared" si="148"/>
        <v>0</v>
      </c>
      <c r="I198" s="44">
        <f t="shared" si="148"/>
        <v>2496</v>
      </c>
      <c r="J198" s="44">
        <f t="shared" si="148"/>
        <v>2496</v>
      </c>
      <c r="K198" s="44">
        <f t="shared" si="148"/>
        <v>0</v>
      </c>
      <c r="L198" s="44">
        <f t="shared" si="148"/>
        <v>0</v>
      </c>
      <c r="M198" s="44">
        <f t="shared" si="148"/>
        <v>0</v>
      </c>
      <c r="N198" s="44">
        <f t="shared" si="148"/>
        <v>0</v>
      </c>
      <c r="O198" s="23"/>
      <c r="P198" s="23"/>
      <c r="Q198" s="23"/>
      <c r="R198" s="23"/>
      <c r="S198" s="23"/>
    </row>
    <row r="199" spans="1:19" s="5" customFormat="1" x14ac:dyDescent="0.25">
      <c r="A199" s="14"/>
      <c r="B199" s="16" t="s">
        <v>38</v>
      </c>
      <c r="C199" s="23"/>
      <c r="D199" s="26"/>
      <c r="E199" s="26"/>
      <c r="F199" s="26"/>
      <c r="G199" s="26"/>
      <c r="H199" s="26"/>
      <c r="I199" s="42"/>
      <c r="J199" s="26"/>
      <c r="K199" s="26"/>
      <c r="L199" s="26"/>
      <c r="M199" s="26"/>
      <c r="N199" s="26"/>
      <c r="O199" s="23"/>
      <c r="P199" s="23"/>
      <c r="Q199" s="23"/>
      <c r="R199" s="23"/>
      <c r="S199" s="23"/>
    </row>
    <row r="200" spans="1:19" s="5" customFormat="1" ht="288" customHeight="1" x14ac:dyDescent="0.25">
      <c r="A200" s="14" t="s">
        <v>121</v>
      </c>
      <c r="B200" s="16" t="s">
        <v>169</v>
      </c>
      <c r="C200" s="23" t="s">
        <v>123</v>
      </c>
      <c r="D200" s="26">
        <f>G200+I200+K200+M200</f>
        <v>2496</v>
      </c>
      <c r="E200" s="26">
        <f t="shared" ref="E200" si="149">H200+J200+L200+N200</f>
        <v>2496</v>
      </c>
      <c r="F200" s="26">
        <f t="shared" ref="F200" si="150">E200/D200*100</f>
        <v>100</v>
      </c>
      <c r="G200" s="24">
        <v>0</v>
      </c>
      <c r="H200" s="24">
        <v>0</v>
      </c>
      <c r="I200" s="42">
        <v>2496</v>
      </c>
      <c r="J200" s="42">
        <v>2496</v>
      </c>
      <c r="K200" s="24">
        <v>0</v>
      </c>
      <c r="L200" s="24">
        <v>0</v>
      </c>
      <c r="M200" s="24">
        <v>0</v>
      </c>
      <c r="N200" s="24">
        <v>0</v>
      </c>
      <c r="O200" s="65" t="s">
        <v>324</v>
      </c>
      <c r="P200" s="66" t="s">
        <v>344</v>
      </c>
      <c r="Q200" s="66" t="s">
        <v>344</v>
      </c>
      <c r="R200" s="25"/>
      <c r="S200" s="33"/>
    </row>
    <row r="201" spans="1:19" s="11" customFormat="1" ht="63" customHeight="1" x14ac:dyDescent="0.25">
      <c r="A201" s="72" t="s">
        <v>60</v>
      </c>
      <c r="B201" s="73"/>
      <c r="C201" s="74"/>
      <c r="D201" s="78"/>
      <c r="E201" s="79"/>
      <c r="F201" s="79"/>
      <c r="G201" s="79"/>
      <c r="H201" s="79"/>
      <c r="I201" s="79"/>
      <c r="J201" s="79"/>
      <c r="K201" s="79"/>
      <c r="L201" s="79"/>
      <c r="M201" s="79"/>
      <c r="N201" s="79"/>
      <c r="O201" s="79"/>
      <c r="P201" s="79"/>
      <c r="Q201" s="79"/>
      <c r="R201" s="79"/>
      <c r="S201" s="80"/>
    </row>
    <row r="202" spans="1:19" s="5" customFormat="1" ht="53.25" customHeight="1" x14ac:dyDescent="0.25">
      <c r="A202" s="46" t="s">
        <v>134</v>
      </c>
      <c r="B202" s="15" t="s">
        <v>135</v>
      </c>
      <c r="C202" s="43"/>
      <c r="D202" s="44">
        <f>D204+D206</f>
        <v>80839.3</v>
      </c>
      <c r="E202" s="44">
        <f>E204+E206</f>
        <v>36537.699999999997</v>
      </c>
      <c r="F202" s="44">
        <f>E202/D202*100</f>
        <v>45.197942090047782</v>
      </c>
      <c r="G202" s="44">
        <f t="shared" ref="G202:N202" si="151">G204+G206</f>
        <v>80030.899999999994</v>
      </c>
      <c r="H202" s="44">
        <f t="shared" si="151"/>
        <v>36172.299999999996</v>
      </c>
      <c r="I202" s="53">
        <f>I204+I206</f>
        <v>808.4</v>
      </c>
      <c r="J202" s="44">
        <f t="shared" si="151"/>
        <v>365.40000000000003</v>
      </c>
      <c r="K202" s="44">
        <f t="shared" si="151"/>
        <v>0</v>
      </c>
      <c r="L202" s="44">
        <f t="shared" si="151"/>
        <v>0</v>
      </c>
      <c r="M202" s="44">
        <f t="shared" si="151"/>
        <v>0</v>
      </c>
      <c r="N202" s="44">
        <f t="shared" si="151"/>
        <v>0</v>
      </c>
      <c r="O202" s="23"/>
      <c r="P202" s="23"/>
      <c r="Q202" s="23"/>
      <c r="R202" s="23"/>
      <c r="S202" s="23"/>
    </row>
    <row r="203" spans="1:19" s="5" customFormat="1" x14ac:dyDescent="0.25">
      <c r="A203" s="14"/>
      <c r="B203" s="16" t="s">
        <v>38</v>
      </c>
      <c r="C203" s="23"/>
      <c r="D203" s="26"/>
      <c r="E203" s="26"/>
      <c r="F203" s="26"/>
      <c r="G203" s="26"/>
      <c r="H203" s="26"/>
      <c r="I203" s="42"/>
      <c r="J203" s="26"/>
      <c r="K203" s="26"/>
      <c r="L203" s="26"/>
      <c r="M203" s="26"/>
      <c r="N203" s="26"/>
      <c r="O203" s="23"/>
      <c r="P203" s="23"/>
      <c r="Q203" s="23"/>
      <c r="R203" s="23"/>
      <c r="S203" s="23"/>
    </row>
    <row r="204" spans="1:19" s="5" customFormat="1" ht="200.25" customHeight="1" x14ac:dyDescent="0.25">
      <c r="A204" s="14" t="s">
        <v>136</v>
      </c>
      <c r="B204" s="16" t="s">
        <v>137</v>
      </c>
      <c r="C204" s="23" t="s">
        <v>188</v>
      </c>
      <c r="D204" s="26">
        <f>G204+I204+K204+M204</f>
        <v>17443.5</v>
      </c>
      <c r="E204" s="26">
        <f t="shared" ref="E204" si="152">H204+J204+L204+N204</f>
        <v>1210.1999999999998</v>
      </c>
      <c r="F204" s="26">
        <f t="shared" ref="F204" si="153">E204/D204*100</f>
        <v>6.9378278441826451</v>
      </c>
      <c r="G204" s="26">
        <v>17269.099999999999</v>
      </c>
      <c r="H204" s="26">
        <v>1198.0999999999999</v>
      </c>
      <c r="I204" s="42">
        <v>174.4</v>
      </c>
      <c r="J204" s="42">
        <v>12.1</v>
      </c>
      <c r="K204" s="24">
        <v>0</v>
      </c>
      <c r="L204" s="24">
        <v>0</v>
      </c>
      <c r="M204" s="26"/>
      <c r="N204" s="24">
        <v>0</v>
      </c>
      <c r="O204" s="65" t="s">
        <v>325</v>
      </c>
      <c r="P204" s="65" t="s">
        <v>158</v>
      </c>
      <c r="Q204" s="65" t="s">
        <v>158</v>
      </c>
      <c r="R204" s="33"/>
      <c r="S204" s="33"/>
    </row>
    <row r="205" spans="1:19" s="11" customFormat="1" ht="63" customHeight="1" x14ac:dyDescent="0.25">
      <c r="A205" s="72" t="s">
        <v>60</v>
      </c>
      <c r="B205" s="73"/>
      <c r="C205" s="74"/>
      <c r="D205" s="84"/>
      <c r="E205" s="85"/>
      <c r="F205" s="85"/>
      <c r="G205" s="85"/>
      <c r="H205" s="85"/>
      <c r="I205" s="85"/>
      <c r="J205" s="85"/>
      <c r="K205" s="85"/>
      <c r="L205" s="85"/>
      <c r="M205" s="85"/>
      <c r="N205" s="85"/>
      <c r="O205" s="85"/>
      <c r="P205" s="85"/>
      <c r="Q205" s="85"/>
      <c r="R205" s="85"/>
      <c r="S205" s="86"/>
    </row>
    <row r="206" spans="1:19" s="5" customFormat="1" ht="198" customHeight="1" x14ac:dyDescent="0.25">
      <c r="A206" s="14" t="s">
        <v>213</v>
      </c>
      <c r="B206" s="16" t="s">
        <v>212</v>
      </c>
      <c r="C206" s="23" t="s">
        <v>154</v>
      </c>
      <c r="D206" s="26">
        <f>G206+I206+K206+M206</f>
        <v>63395.8</v>
      </c>
      <c r="E206" s="26">
        <f t="shared" ref="E206" si="154">H206+J206+L206+N206</f>
        <v>35327.5</v>
      </c>
      <c r="F206" s="26">
        <f t="shared" ref="F206" si="155">E206/D206*100</f>
        <v>55.725300414223021</v>
      </c>
      <c r="G206" s="26">
        <v>62761.8</v>
      </c>
      <c r="H206" s="24">
        <v>34974.199999999997</v>
      </c>
      <c r="I206" s="42">
        <v>634</v>
      </c>
      <c r="J206" s="24">
        <v>353.3</v>
      </c>
      <c r="K206" s="24">
        <v>0</v>
      </c>
      <c r="L206" s="24">
        <v>0</v>
      </c>
      <c r="M206" s="24">
        <v>0</v>
      </c>
      <c r="N206" s="24">
        <v>0</v>
      </c>
      <c r="O206" s="65" t="s">
        <v>326</v>
      </c>
      <c r="P206" s="65" t="s">
        <v>158</v>
      </c>
      <c r="Q206" s="65" t="s">
        <v>158</v>
      </c>
      <c r="R206" s="33"/>
      <c r="S206" s="33"/>
    </row>
    <row r="207" spans="1:19" s="11" customFormat="1" ht="60" customHeight="1" x14ac:dyDescent="0.25">
      <c r="A207" s="72" t="s">
        <v>60</v>
      </c>
      <c r="B207" s="73"/>
      <c r="C207" s="74"/>
      <c r="D207" s="78"/>
      <c r="E207" s="79"/>
      <c r="F207" s="79"/>
      <c r="G207" s="79"/>
      <c r="H207" s="79"/>
      <c r="I207" s="79"/>
      <c r="J207" s="79"/>
      <c r="K207" s="79"/>
      <c r="L207" s="79"/>
      <c r="M207" s="79"/>
      <c r="N207" s="79"/>
      <c r="O207" s="79"/>
      <c r="P207" s="79"/>
      <c r="Q207" s="79"/>
      <c r="R207" s="79"/>
      <c r="S207" s="80"/>
    </row>
    <row r="208" spans="1:19" s="5" customFormat="1" ht="18.75" customHeight="1" x14ac:dyDescent="0.25">
      <c r="A208" s="14"/>
      <c r="B208" s="15" t="s">
        <v>52</v>
      </c>
      <c r="C208" s="43"/>
      <c r="D208" s="44">
        <f>D198+D180+D202</f>
        <v>481135.49999999994</v>
      </c>
      <c r="E208" s="44">
        <f>E198+E180+E202</f>
        <v>282741.77</v>
      </c>
      <c r="F208" s="44">
        <f>E208/D208*100</f>
        <v>58.765518237585887</v>
      </c>
      <c r="G208" s="44">
        <f t="shared" ref="G208:N208" si="156">G198+G180+G202</f>
        <v>90466.9</v>
      </c>
      <c r="H208" s="44">
        <f t="shared" si="156"/>
        <v>41140.14</v>
      </c>
      <c r="I208" s="53">
        <f t="shared" si="156"/>
        <v>390668.6</v>
      </c>
      <c r="J208" s="44">
        <f t="shared" si="156"/>
        <v>241601.62999999998</v>
      </c>
      <c r="K208" s="44">
        <f t="shared" si="156"/>
        <v>0</v>
      </c>
      <c r="L208" s="44">
        <f t="shared" si="156"/>
        <v>0</v>
      </c>
      <c r="M208" s="44">
        <f t="shared" si="156"/>
        <v>0</v>
      </c>
      <c r="N208" s="44">
        <f t="shared" si="156"/>
        <v>0</v>
      </c>
      <c r="O208" s="23"/>
      <c r="P208" s="23"/>
      <c r="Q208" s="23"/>
      <c r="R208" s="23"/>
      <c r="S208" s="23"/>
    </row>
    <row r="209" spans="1:19" s="11" customFormat="1" ht="26.25" customHeight="1" x14ac:dyDescent="0.25">
      <c r="A209" s="14"/>
      <c r="B209" s="49" t="s">
        <v>124</v>
      </c>
      <c r="C209" s="50"/>
      <c r="D209" s="30">
        <f>D208+D178+D128</f>
        <v>17640301.351086956</v>
      </c>
      <c r="E209" s="30">
        <f>E208+E178+E128</f>
        <v>9666673.9227173924</v>
      </c>
      <c r="F209" s="30">
        <f>E209/D209*100</f>
        <v>54.798802641326496</v>
      </c>
      <c r="G209" s="30">
        <f t="shared" ref="G209:N209" si="157">G208+G178+G128</f>
        <v>3248602.8000000003</v>
      </c>
      <c r="H209" s="53">
        <f t="shared" si="157"/>
        <v>1841502.03</v>
      </c>
      <c r="I209" s="53">
        <f t="shared" si="157"/>
        <v>14361250.5</v>
      </c>
      <c r="J209" s="53">
        <f t="shared" si="157"/>
        <v>7811280.040000001</v>
      </c>
      <c r="K209" s="30">
        <f t="shared" si="157"/>
        <v>27586.751086956519</v>
      </c>
      <c r="L209" s="30">
        <f t="shared" si="157"/>
        <v>13328.552717391305</v>
      </c>
      <c r="M209" s="30">
        <f t="shared" si="157"/>
        <v>2861.3</v>
      </c>
      <c r="N209" s="30">
        <f t="shared" si="157"/>
        <v>563.29999999999995</v>
      </c>
      <c r="O209" s="33"/>
      <c r="P209" s="33"/>
      <c r="Q209" s="33"/>
      <c r="R209" s="33"/>
      <c r="S209" s="33"/>
    </row>
    <row r="211" spans="1:19" x14ac:dyDescent="0.25">
      <c r="G211" s="64"/>
      <c r="H211" s="64"/>
      <c r="I211" s="64"/>
      <c r="J211" s="64"/>
    </row>
  </sheetData>
  <autoFilter ref="A10:R209"/>
  <mergeCells count="176">
    <mergeCell ref="A167:C167"/>
    <mergeCell ref="D167:S167"/>
    <mergeCell ref="A127:C127"/>
    <mergeCell ref="A109:C109"/>
    <mergeCell ref="D109:S109"/>
    <mergeCell ref="A111:C111"/>
    <mergeCell ref="D111:S111"/>
    <mergeCell ref="A113:C113"/>
    <mergeCell ref="D113:S113"/>
    <mergeCell ref="A155:C155"/>
    <mergeCell ref="D155:S155"/>
    <mergeCell ref="A161:C161"/>
    <mergeCell ref="D161:S161"/>
    <mergeCell ref="D145:S145"/>
    <mergeCell ref="A147:C147"/>
    <mergeCell ref="D147:S147"/>
    <mergeCell ref="A177:C177"/>
    <mergeCell ref="D177:S177"/>
    <mergeCell ref="A95:C95"/>
    <mergeCell ref="D95:S95"/>
    <mergeCell ref="A149:C149"/>
    <mergeCell ref="D149:S149"/>
    <mergeCell ref="A151:C151"/>
    <mergeCell ref="D151:S151"/>
    <mergeCell ref="A153:C153"/>
    <mergeCell ref="D153:S153"/>
    <mergeCell ref="A173:C173"/>
    <mergeCell ref="D173:S173"/>
    <mergeCell ref="A135:C135"/>
    <mergeCell ref="D135:S135"/>
    <mergeCell ref="A169:C169"/>
    <mergeCell ref="D169:S169"/>
    <mergeCell ref="A175:C175"/>
    <mergeCell ref="D175:S175"/>
    <mergeCell ref="A171:C171"/>
    <mergeCell ref="D171:S171"/>
    <mergeCell ref="D99:S99"/>
    <mergeCell ref="A117:C117"/>
    <mergeCell ref="D117:S117"/>
    <mergeCell ref="A145:C145"/>
    <mergeCell ref="A205:C205"/>
    <mergeCell ref="D205:S205"/>
    <mergeCell ref="A207:C207"/>
    <mergeCell ref="D207:S207"/>
    <mergeCell ref="A187:C187"/>
    <mergeCell ref="D187:S187"/>
    <mergeCell ref="A185:C185"/>
    <mergeCell ref="D185:S185"/>
    <mergeCell ref="A183:C183"/>
    <mergeCell ref="D183:S183"/>
    <mergeCell ref="A201:C201"/>
    <mergeCell ref="D201:S201"/>
    <mergeCell ref="A193:C193"/>
    <mergeCell ref="D193:S193"/>
    <mergeCell ref="A195:C195"/>
    <mergeCell ref="D195:S195"/>
    <mergeCell ref="A189:C189"/>
    <mergeCell ref="D189:S189"/>
    <mergeCell ref="A197:C197"/>
    <mergeCell ref="D197:S197"/>
    <mergeCell ref="A191:C191"/>
    <mergeCell ref="D191:S191"/>
    <mergeCell ref="A101:C101"/>
    <mergeCell ref="D101:S101"/>
    <mergeCell ref="A119:C119"/>
    <mergeCell ref="D119:S119"/>
    <mergeCell ref="A165:C165"/>
    <mergeCell ref="A133:C133"/>
    <mergeCell ref="D133:S133"/>
    <mergeCell ref="A123:C123"/>
    <mergeCell ref="D123:S123"/>
    <mergeCell ref="D127:S127"/>
    <mergeCell ref="A137:C137"/>
    <mergeCell ref="D137:S137"/>
    <mergeCell ref="A103:C103"/>
    <mergeCell ref="D103:S103"/>
    <mergeCell ref="A105:C105"/>
    <mergeCell ref="D105:S105"/>
    <mergeCell ref="A107:C107"/>
    <mergeCell ref="D107:S107"/>
    <mergeCell ref="A139:C139"/>
    <mergeCell ref="D165:S165"/>
    <mergeCell ref="A1:S1"/>
    <mergeCell ref="A2:S2"/>
    <mergeCell ref="A3:S4"/>
    <mergeCell ref="R6:R9"/>
    <mergeCell ref="A19:C19"/>
    <mergeCell ref="D19:S19"/>
    <mergeCell ref="A21:C21"/>
    <mergeCell ref="O6:Q8"/>
    <mergeCell ref="G7:N7"/>
    <mergeCell ref="G8:H8"/>
    <mergeCell ref="D21:S21"/>
    <mergeCell ref="A71:C71"/>
    <mergeCell ref="D71:S71"/>
    <mergeCell ref="A57:C57"/>
    <mergeCell ref="D57:S57"/>
    <mergeCell ref="A27:C27"/>
    <mergeCell ref="I8:J8"/>
    <mergeCell ref="A47:C47"/>
    <mergeCell ref="D47:S47"/>
    <mergeCell ref="K8:L8"/>
    <mergeCell ref="M8:N8"/>
    <mergeCell ref="B6:B9"/>
    <mergeCell ref="C6:C9"/>
    <mergeCell ref="D6:N6"/>
    <mergeCell ref="A6:A9"/>
    <mergeCell ref="D7:F8"/>
    <mergeCell ref="A15:C15"/>
    <mergeCell ref="D15:S15"/>
    <mergeCell ref="S6:S9"/>
    <mergeCell ref="A23:C23"/>
    <mergeCell ref="D23:S23"/>
    <mergeCell ref="A17:C17"/>
    <mergeCell ref="D17:S17"/>
    <mergeCell ref="D27:S27"/>
    <mergeCell ref="A35:C35"/>
    <mergeCell ref="D39:S39"/>
    <mergeCell ref="A43:C43"/>
    <mergeCell ref="A53:C53"/>
    <mergeCell ref="D53:S53"/>
    <mergeCell ref="A51:C51"/>
    <mergeCell ref="D51:S51"/>
    <mergeCell ref="D43:S43"/>
    <mergeCell ref="A45:C45"/>
    <mergeCell ref="D45:S45"/>
    <mergeCell ref="A49:C49"/>
    <mergeCell ref="D49:S49"/>
    <mergeCell ref="A85:C85"/>
    <mergeCell ref="D85:S85"/>
    <mergeCell ref="A87:C87"/>
    <mergeCell ref="D87:S87"/>
    <mergeCell ref="A29:C29"/>
    <mergeCell ref="D29:S29"/>
    <mergeCell ref="A31:C31"/>
    <mergeCell ref="D31:S31"/>
    <mergeCell ref="A33:C33"/>
    <mergeCell ref="D33:S33"/>
    <mergeCell ref="D35:S35"/>
    <mergeCell ref="A37:C37"/>
    <mergeCell ref="D37:S37"/>
    <mergeCell ref="A55:C55"/>
    <mergeCell ref="D55:S55"/>
    <mergeCell ref="A63:C63"/>
    <mergeCell ref="D63:S63"/>
    <mergeCell ref="A65:C65"/>
    <mergeCell ref="D65:S65"/>
    <mergeCell ref="A67:C67"/>
    <mergeCell ref="D67:S67"/>
    <mergeCell ref="A59:C59"/>
    <mergeCell ref="D59:S59"/>
    <mergeCell ref="A39:C39"/>
    <mergeCell ref="A91:C91"/>
    <mergeCell ref="D91:S91"/>
    <mergeCell ref="D139:S139"/>
    <mergeCell ref="A141:C141"/>
    <mergeCell ref="D141:S141"/>
    <mergeCell ref="A159:C159"/>
    <mergeCell ref="D159:S159"/>
    <mergeCell ref="A41:C41"/>
    <mergeCell ref="D41:S41"/>
    <mergeCell ref="A75:C75"/>
    <mergeCell ref="D75:S75"/>
    <mergeCell ref="A99:C99"/>
    <mergeCell ref="A73:C73"/>
    <mergeCell ref="D73:S73"/>
    <mergeCell ref="A77:C77"/>
    <mergeCell ref="D77:S77"/>
    <mergeCell ref="A89:C89"/>
    <mergeCell ref="D89:S89"/>
    <mergeCell ref="A83:C83"/>
    <mergeCell ref="D83:S83"/>
    <mergeCell ref="A81:C81"/>
    <mergeCell ref="D81:S81"/>
    <mergeCell ref="A61:C61"/>
    <mergeCell ref="D61:S61"/>
  </mergeCells>
  <pageMargins left="0" right="0" top="0" bottom="0" header="0.31496062992125984" footer="0.31496062992125984"/>
  <pageSetup paperSize="9" scale="43" fitToHeight="0" orientation="landscape" horizontalDpi="180" verticalDpi="180" r:id="rId1"/>
  <rowBreaks count="6" manualBreakCount="6">
    <brk id="129" max="18" man="1"/>
    <brk id="155" max="18" man="1"/>
    <brk id="163" max="18" man="1"/>
    <brk id="172" max="18" man="1"/>
    <brk id="182" max="18" man="1"/>
    <brk id="200"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2022-11-15T08:06:30Z</dcterms:modified>
</cp:coreProperties>
</file>